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hardlilliestierna/Desktop/"/>
    </mc:Choice>
  </mc:AlternateContent>
  <xr:revisionPtr revIDLastSave="0" documentId="8_{6CB520D3-054D-A143-851F-60A2A666E631}" xr6:coauthVersionLast="47" xr6:coauthVersionMax="47" xr10:uidLastSave="{00000000-0000-0000-0000-000000000000}"/>
  <workbookProtection workbookAlgorithmName="SHA-512" workbookHashValue="m8Uo9H8afCFRHIEhwWdvRIRJW+Zw2a4N4pc2KAkYrfBQ7bpAFZipaVFOiVUngSprU/L/1eomDUCACpHyl8aZdw==" workbookSaltValue="jzbQeLN2AgfJcojPuEiZ7A==" workbookSpinCount="100000" lockStructure="1"/>
  <bookViews>
    <workbookView xWindow="0" yWindow="500" windowWidth="28800" windowHeight="16140" xr2:uid="{1916B8B2-25C1-46FF-AA61-75A0723629C7}"/>
  </bookViews>
  <sheets>
    <sheet name="Blad1" sheetId="1" r:id="rId1"/>
  </sheets>
  <definedNames>
    <definedName name="_xlnm.Print_Area" localSheetId="0">Blad1!$B$4:$R$55,Blad1!$B$58:$T$114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EY79" i="1"/>
  <c r="EZ79" i="1" s="1"/>
  <c r="EX79" i="1"/>
  <c r="EX78" i="1"/>
  <c r="EY78" i="1" s="1"/>
  <c r="EY77" i="1"/>
  <c r="EX77" i="1"/>
  <c r="EX76" i="1"/>
  <c r="EY76" i="1" s="1"/>
  <c r="EZ76" i="1" s="1"/>
  <c r="EX75" i="1"/>
  <c r="EY75" i="1" s="1"/>
  <c r="EX74" i="1"/>
  <c r="EY74" i="1" s="1"/>
  <c r="EZ74" i="1" s="1"/>
  <c r="AM63" i="1"/>
  <c r="AO62" i="1"/>
  <c r="AN62" i="1"/>
  <c r="AM62" i="1"/>
  <c r="FD61" i="1"/>
  <c r="FB61" i="1"/>
  <c r="EZ61" i="1"/>
  <c r="EY61" i="1"/>
  <c r="EX61" i="1"/>
  <c r="EW61" i="1"/>
  <c r="EV61" i="1"/>
  <c r="EU61" i="1"/>
  <c r="FC61" i="1" s="1"/>
  <c r="AM61" i="1"/>
  <c r="AO61" i="1" s="1"/>
  <c r="FD60" i="1"/>
  <c r="FB60" i="1"/>
  <c r="EY60" i="1"/>
  <c r="EX60" i="1"/>
  <c r="EW60" i="1"/>
  <c r="EZ60" i="1" s="1"/>
  <c r="EV60" i="1"/>
  <c r="EU60" i="1"/>
  <c r="FC60" i="1" s="1"/>
  <c r="AN60" i="1"/>
  <c r="AM60" i="1"/>
  <c r="AO60" i="1" s="1"/>
  <c r="FB59" i="1"/>
  <c r="EY59" i="1"/>
  <c r="EX59" i="1"/>
  <c r="EW59" i="1"/>
  <c r="EZ59" i="1" s="1"/>
  <c r="EV59" i="1"/>
  <c r="EU59" i="1"/>
  <c r="FC59" i="1" s="1"/>
  <c r="AO59" i="1"/>
  <c r="AN59" i="1"/>
  <c r="AM59" i="1"/>
  <c r="FB58" i="1"/>
  <c r="EZ58" i="1"/>
  <c r="EY58" i="1"/>
  <c r="EX58" i="1"/>
  <c r="EW58" i="1"/>
  <c r="EV58" i="1"/>
  <c r="EU58" i="1"/>
  <c r="FC58" i="1" s="1"/>
  <c r="FC57" i="1"/>
  <c r="FB57" i="1"/>
  <c r="EZ57" i="1"/>
  <c r="EY57" i="1"/>
  <c r="EX57" i="1"/>
  <c r="EW57" i="1"/>
  <c r="EV57" i="1"/>
  <c r="EU57" i="1"/>
  <c r="FD57" i="1" s="1"/>
  <c r="FB56" i="1"/>
  <c r="EY56" i="1"/>
  <c r="EX56" i="1"/>
  <c r="EW56" i="1"/>
  <c r="EZ56" i="1" s="1"/>
  <c r="EV56" i="1"/>
  <c r="EU56" i="1"/>
  <c r="FC56" i="1" s="1"/>
  <c r="AQ55" i="1"/>
  <c r="AP55" i="1"/>
  <c r="AR55" i="1" s="1"/>
  <c r="AU55" i="1" s="1"/>
  <c r="AY55" i="1" s="1"/>
  <c r="AM55" i="1"/>
  <c r="AU54" i="1"/>
  <c r="AU52" i="1"/>
  <c r="EW50" i="1"/>
  <c r="EX50" i="1" s="1"/>
  <c r="EV50" i="1"/>
  <c r="EW49" i="1"/>
  <c r="EX49" i="1" s="1"/>
  <c r="EV49" i="1"/>
  <c r="AP49" i="1"/>
  <c r="AO49" i="1"/>
  <c r="AQ49" i="1" s="1"/>
  <c r="EW48" i="1"/>
  <c r="EX48" i="1" s="1"/>
  <c r="EV48" i="1"/>
  <c r="AP48" i="1"/>
  <c r="AQ48" i="1" s="1"/>
  <c r="AO48" i="1"/>
  <c r="EW47" i="1"/>
  <c r="EX47" i="1" s="1"/>
  <c r="EV47" i="1"/>
  <c r="AP47" i="1"/>
  <c r="AQ47" i="1" s="1"/>
  <c r="AO47" i="1"/>
  <c r="EW46" i="1"/>
  <c r="EX46" i="1" s="1"/>
  <c r="EV46" i="1"/>
  <c r="AP46" i="1"/>
  <c r="AQ46" i="1" s="1"/>
  <c r="AO46" i="1"/>
  <c r="EW45" i="1"/>
  <c r="EX45" i="1" s="1"/>
  <c r="EV45" i="1"/>
  <c r="AJ43" i="1"/>
  <c r="AI43" i="1"/>
  <c r="AJ44" i="1" s="1"/>
  <c r="AJ42" i="1"/>
  <c r="AW41" i="1"/>
  <c r="AV41" i="1"/>
  <c r="AU41" i="1"/>
  <c r="AF41" i="1"/>
  <c r="AL41" i="1" s="1"/>
  <c r="AJ48" i="1" s="1"/>
  <c r="AK48" i="1" s="1"/>
  <c r="AV40" i="1"/>
  <c r="AU40" i="1"/>
  <c r="AL40" i="1"/>
  <c r="AJ40" i="1"/>
  <c r="AK40" i="1" s="1"/>
  <c r="AI40" i="1"/>
  <c r="AH40" i="1"/>
  <c r="AG40" i="1"/>
  <c r="AF40" i="1"/>
  <c r="AV39" i="1"/>
  <c r="AU39" i="1"/>
  <c r="AL39" i="1"/>
  <c r="AJ39" i="1"/>
  <c r="AK39" i="1" s="1"/>
  <c r="AI39" i="1"/>
  <c r="AF39" i="1"/>
  <c r="AH39" i="1" s="1"/>
  <c r="AV38" i="1"/>
  <c r="AU38" i="1"/>
  <c r="AL38" i="1"/>
  <c r="AF38" i="1"/>
  <c r="AJ38" i="1" s="1"/>
  <c r="AV37" i="1"/>
  <c r="AU37" i="1"/>
  <c r="AN37" i="1"/>
  <c r="AF37" i="1"/>
  <c r="AL37" i="1" s="1"/>
  <c r="AW33" i="1"/>
  <c r="AO33" i="1"/>
  <c r="AN33" i="1"/>
  <c r="AE33" i="1"/>
  <c r="AW32" i="1"/>
  <c r="AV32" i="1"/>
  <c r="AV33" i="1" s="1"/>
  <c r="AX33" i="1" s="1"/>
  <c r="AO32" i="1"/>
  <c r="AN32" i="1"/>
  <c r="AF32" i="1"/>
  <c r="AG32" i="1" s="1"/>
  <c r="AH32" i="1" s="1"/>
  <c r="AX31" i="1"/>
  <c r="AW31" i="1"/>
  <c r="AV31" i="1"/>
  <c r="AO31" i="1"/>
  <c r="AN31" i="1"/>
  <c r="AG31" i="1"/>
  <c r="AH31" i="1" s="1"/>
  <c r="AF31" i="1"/>
  <c r="AE31" i="1"/>
  <c r="Q31" i="1"/>
  <c r="M31" i="1"/>
  <c r="I31" i="1"/>
  <c r="E31" i="1"/>
  <c r="AO30" i="1"/>
  <c r="AN30" i="1"/>
  <c r="AF30" i="1"/>
  <c r="AG30" i="1" s="1"/>
  <c r="AH30" i="1" s="1"/>
  <c r="AE30" i="1"/>
  <c r="P30" i="1"/>
  <c r="L30" i="1"/>
  <c r="H30" i="1"/>
  <c r="D30" i="1"/>
  <c r="AO29" i="1"/>
  <c r="AN29" i="1"/>
  <c r="AF29" i="1"/>
  <c r="AG29" i="1" s="1"/>
  <c r="AH29" i="1" s="1"/>
  <c r="AE29" i="1"/>
  <c r="P29" i="1"/>
  <c r="L29" i="1"/>
  <c r="H29" i="1"/>
  <c r="D29" i="1"/>
  <c r="AW28" i="1"/>
  <c r="AT28" i="1"/>
  <c r="AU28" i="1" s="1"/>
  <c r="AV28" i="1" s="1"/>
  <c r="AX28" i="1" s="1"/>
  <c r="AO28" i="1"/>
  <c r="AN28" i="1"/>
  <c r="AF28" i="1"/>
  <c r="AG28" i="1" s="1"/>
  <c r="AH28" i="1" s="1"/>
  <c r="AE28" i="1"/>
  <c r="P28" i="1"/>
  <c r="L28" i="1"/>
  <c r="H28" i="1"/>
  <c r="D28" i="1"/>
  <c r="AO27" i="1"/>
  <c r="AN27" i="1"/>
  <c r="AP27" i="1" s="1"/>
  <c r="AF27" i="1"/>
  <c r="AG27" i="1" s="1"/>
  <c r="AH27" i="1" s="1"/>
  <c r="AE27" i="1"/>
  <c r="P27" i="1"/>
  <c r="L27" i="1"/>
  <c r="H27" i="1"/>
  <c r="D27" i="1"/>
  <c r="AO26" i="1"/>
  <c r="AF26" i="1"/>
  <c r="AG26" i="1" s="1"/>
  <c r="AH26" i="1" s="1"/>
  <c r="AE26" i="1"/>
  <c r="P26" i="1"/>
  <c r="L26" i="1"/>
  <c r="H26" i="1"/>
  <c r="D26" i="1"/>
  <c r="AF25" i="1"/>
  <c r="AG25" i="1" s="1"/>
  <c r="AH25" i="1" s="1"/>
  <c r="AE25" i="1"/>
  <c r="P25" i="1"/>
  <c r="L25" i="1"/>
  <c r="H25" i="1"/>
  <c r="D25" i="1"/>
  <c r="AF24" i="1"/>
  <c r="AG24" i="1" s="1"/>
  <c r="AH24" i="1" s="1"/>
  <c r="AE24" i="1"/>
  <c r="N24" i="1"/>
  <c r="O24" i="1" s="1"/>
  <c r="J24" i="1"/>
  <c r="K24" i="1" s="1"/>
  <c r="F24" i="1"/>
  <c r="G24" i="1" s="1"/>
  <c r="B24" i="1"/>
  <c r="C24" i="1" s="1"/>
  <c r="AF23" i="1"/>
  <c r="AG23" i="1" s="1"/>
  <c r="AH23" i="1" s="1"/>
  <c r="P22" i="1"/>
  <c r="L22" i="1"/>
  <c r="H22" i="1"/>
  <c r="D22" i="1"/>
  <c r="O33" i="1" s="1"/>
  <c r="AO21" i="1"/>
  <c r="AP20" i="1" s="1"/>
  <c r="AS20" i="1"/>
  <c r="AO20" i="1"/>
  <c r="AS19" i="1"/>
  <c r="AP19" i="1"/>
  <c r="AO19" i="1"/>
  <c r="EX81" i="1" s="1"/>
  <c r="AS18" i="1"/>
  <c r="AS21" i="1" s="1"/>
  <c r="AP18" i="1"/>
  <c r="AO18" i="1"/>
  <c r="AU17" i="1"/>
  <c r="AS17" i="1"/>
  <c r="AO17" i="1"/>
  <c r="AU16" i="1"/>
  <c r="AU15" i="1"/>
  <c r="AU14" i="1"/>
  <c r="AU11" i="1"/>
  <c r="AU10" i="1"/>
  <c r="AF10" i="1"/>
  <c r="AE10" i="1"/>
  <c r="AU9" i="1"/>
  <c r="AE9" i="1"/>
  <c r="AG9" i="1" s="1"/>
  <c r="AU8" i="1"/>
  <c r="AG8" i="1"/>
  <c r="AE8" i="1"/>
  <c r="AF8" i="1" s="1"/>
  <c r="AE7" i="1"/>
  <c r="AG7" i="1" s="1"/>
  <c r="AV6" i="1"/>
  <c r="AT6" i="1"/>
  <c r="AP6" i="1"/>
  <c r="AF6" i="1"/>
  <c r="AG6" i="1" s="1"/>
  <c r="AE6" i="1"/>
  <c r="AP33" i="1" l="1"/>
  <c r="AR33" i="1" s="1"/>
  <c r="AP30" i="1"/>
  <c r="AR30" i="1" s="1"/>
  <c r="AP32" i="1"/>
  <c r="AQ32" i="1" s="1"/>
  <c r="AP31" i="1"/>
  <c r="AQ31" i="1" s="1"/>
  <c r="AP29" i="1"/>
  <c r="AR29" i="1" s="1"/>
  <c r="AP28" i="1"/>
  <c r="AR28" i="1" s="1"/>
  <c r="D24" i="1"/>
  <c r="D31" i="1" s="1"/>
  <c r="AP21" i="1"/>
  <c r="AP22" i="1" s="1"/>
  <c r="K33" i="1" s="1"/>
  <c r="AR49" i="1"/>
  <c r="AS49" i="1"/>
  <c r="AU49" i="1" s="1"/>
  <c r="AS47" i="1"/>
  <c r="AU47" i="1" s="1"/>
  <c r="AR47" i="1"/>
  <c r="AH8" i="1"/>
  <c r="P24" i="1"/>
  <c r="P31" i="1" s="1"/>
  <c r="EX51" i="1"/>
  <c r="EZ75" i="1"/>
  <c r="AH9" i="1"/>
  <c r="AY28" i="1"/>
  <c r="AN63" i="1"/>
  <c r="AO63" i="1"/>
  <c r="AT55" i="1" s="1"/>
  <c r="AR46" i="1"/>
  <c r="AS46" i="1"/>
  <c r="AU46" i="1" s="1"/>
  <c r="AR48" i="1"/>
  <c r="AS48" i="1"/>
  <c r="AU48" i="1" s="1"/>
  <c r="AH10" i="1"/>
  <c r="AH49" i="1"/>
  <c r="AI49" i="1" s="1"/>
  <c r="AK49" i="1" s="1"/>
  <c r="AH48" i="1"/>
  <c r="AI48" i="1" s="1"/>
  <c r="EZ77" i="1"/>
  <c r="EZ78" i="1"/>
  <c r="EW64" i="1"/>
  <c r="FA60" i="1"/>
  <c r="H31" i="1"/>
  <c r="H24" i="1"/>
  <c r="L24" i="1"/>
  <c r="L31" i="1"/>
  <c r="AR27" i="1"/>
  <c r="AQ27" i="1"/>
  <c r="AS27" i="1"/>
  <c r="EZ80" i="1"/>
  <c r="EX82" i="1" s="1"/>
  <c r="AH6" i="1"/>
  <c r="AJ37" i="1"/>
  <c r="AG38" i="1"/>
  <c r="AF7" i="1"/>
  <c r="AH7" i="1" s="1"/>
  <c r="FD56" i="1"/>
  <c r="AI37" i="1"/>
  <c r="AG37" i="1"/>
  <c r="AG41" i="1" s="1"/>
  <c r="AH37" i="1"/>
  <c r="AX32" i="1"/>
  <c r="FD59" i="1"/>
  <c r="AH38" i="1"/>
  <c r="FD58" i="1"/>
  <c r="AN61" i="1"/>
  <c r="AF9" i="1"/>
  <c r="AG10" i="1"/>
  <c r="AI38" i="1"/>
  <c r="AK38" i="1" s="1"/>
  <c r="AG39" i="1"/>
  <c r="AQ30" i="1" l="1"/>
  <c r="AQ28" i="1"/>
  <c r="AS33" i="1"/>
  <c r="AQ33" i="1"/>
  <c r="AQ29" i="1"/>
  <c r="AT49" i="1"/>
  <c r="AW40" i="1"/>
  <c r="AE17" i="1"/>
  <c r="AJ7" i="1"/>
  <c r="AI7" i="1"/>
  <c r="AW37" i="1"/>
  <c r="AT46" i="1"/>
  <c r="AE14" i="1"/>
  <c r="FA64" i="1"/>
  <c r="EZ64" i="1"/>
  <c r="EY64" i="1"/>
  <c r="EX64" i="1"/>
  <c r="AK37" i="1"/>
  <c r="FA56" i="1"/>
  <c r="FA58" i="1"/>
  <c r="AJ9" i="1"/>
  <c r="AI9" i="1"/>
  <c r="FA57" i="1"/>
  <c r="AM65" i="1"/>
  <c r="AS55" i="1"/>
  <c r="AW39" i="1"/>
  <c r="AT48" i="1"/>
  <c r="AE16" i="1"/>
  <c r="FA61" i="1"/>
  <c r="AJ10" i="1"/>
  <c r="AI10" i="1"/>
  <c r="AU50" i="1"/>
  <c r="AT47" i="1"/>
  <c r="AE15" i="1"/>
  <c r="AW38" i="1"/>
  <c r="AJ8" i="1"/>
  <c r="AI8" i="1"/>
  <c r="FA59" i="1"/>
  <c r="AG17" i="1" l="1"/>
  <c r="AF17" i="1"/>
  <c r="AG14" i="1"/>
  <c r="AF14" i="1"/>
  <c r="AG16" i="1"/>
  <c r="AF16" i="1"/>
  <c r="EW65" i="1"/>
  <c r="AG15" i="1"/>
  <c r="AF15" i="1"/>
  <c r="FA65" i="1" l="1"/>
  <c r="FA66" i="1" s="1"/>
  <c r="EZ65" i="1"/>
  <c r="EY65" i="1"/>
  <c r="EY66" i="1" s="1"/>
  <c r="EX65" i="1"/>
  <c r="AF18" i="1"/>
  <c r="AG18" i="1"/>
  <c r="FA68" i="1" l="1"/>
  <c r="FA67" i="1"/>
  <c r="FA69" i="1" s="1"/>
  <c r="FA70" i="1" s="1"/>
  <c r="AE32" i="1" l="1"/>
  <c r="AE23" i="1"/>
  <c r="AN26" i="1"/>
  <c r="AP26" i="1" s="1"/>
  <c r="AS26" i="1" s="1"/>
  <c r="P51" i="1"/>
  <c r="AN55" i="1"/>
  <c r="AO55" i="1" s="1"/>
  <c r="AQ26" i="1" l="1"/>
  <c r="AR26" i="1"/>
</calcChain>
</file>

<file path=xl/sharedStrings.xml><?xml version="1.0" encoding="utf-8"?>
<sst xmlns="http://schemas.openxmlformats.org/spreadsheetml/2006/main" count="535" uniqueCount="319">
  <si>
    <t>Radera med Backspace</t>
  </si>
  <si>
    <t>DOLT</t>
  </si>
  <si>
    <t>Alla tider skrivs</t>
  </si>
  <si>
    <t>1=Rå m.fl</t>
  </si>
  <si>
    <t>Drevprovsprotokoll  TAX</t>
  </si>
  <si>
    <t xml:space="preserve"> </t>
  </si>
  <si>
    <t>Lokalklubb</t>
  </si>
  <si>
    <t>Kat.nr</t>
  </si>
  <si>
    <t>Slag av djur o maxtid</t>
  </si>
  <si>
    <t>Rå</t>
  </si>
  <si>
    <t>Hare</t>
  </si>
  <si>
    <t>2=Hare m.fl.</t>
  </si>
  <si>
    <t>Prisvalörer</t>
  </si>
  <si>
    <t>För ifyllandet av protokoll</t>
  </si>
  <si>
    <t xml:space="preserve">Hundens namn </t>
  </si>
  <si>
    <t>Drev</t>
  </si>
  <si>
    <t>Djur</t>
  </si>
  <si>
    <t>Pris</t>
  </si>
  <si>
    <t>Tid över</t>
  </si>
  <si>
    <t>3=fel</t>
  </si>
  <si>
    <t>Poäng</t>
  </si>
  <si>
    <t>Regnr:</t>
  </si>
  <si>
    <t>EGENSKAPSPOÄNG</t>
  </si>
  <si>
    <t>Moment  1</t>
  </si>
  <si>
    <t>SÖK</t>
  </si>
  <si>
    <t>Förutsättningar för pris</t>
  </si>
  <si>
    <t>Ägare</t>
  </si>
  <si>
    <t>Adress</t>
  </si>
  <si>
    <t>Drev 1</t>
  </si>
  <si>
    <t>Har inte kunnat bedömas i momentet men kan tilldelas pris.</t>
  </si>
  <si>
    <t>Drev 2</t>
  </si>
  <si>
    <t>Tid</t>
  </si>
  <si>
    <t>Har bra kontakt med föraren och söker ut i ordinära bukter, över 50 meter.</t>
  </si>
  <si>
    <t>Postnummer</t>
  </si>
  <si>
    <t>Postadress</t>
  </si>
  <si>
    <t>Telefon</t>
  </si>
  <si>
    <t>Drev 3</t>
  </si>
  <si>
    <t>Rå m.fl.</t>
  </si>
  <si>
    <t>Hare m.fl.</t>
  </si>
  <si>
    <t>Drev 4</t>
  </si>
  <si>
    <t>Avsöker systematiskt och målmedvetet  terrängen som föraren går igenom eller stannat i. Lagom vidsökt och i utmärkt kontakt med föraren.</t>
  </si>
  <si>
    <t>Provdag</t>
  </si>
  <si>
    <t>Provplats/ort</t>
  </si>
  <si>
    <t xml:space="preserve"> Id-nr:</t>
  </si>
  <si>
    <t>Drev under 20 min</t>
  </si>
  <si>
    <t>Moment 2</t>
  </si>
  <si>
    <t>Upptagningsförmåga/arbetet på slag</t>
  </si>
  <si>
    <t>c</t>
  </si>
  <si>
    <t>Under</t>
  </si>
  <si>
    <t>Fler under</t>
  </si>
  <si>
    <t>cm</t>
  </si>
  <si>
    <t>Hunden försedd med pejl</t>
  </si>
  <si>
    <t>Har ett planlöst arbete på slag, saknar ihärdighet, uppvisar envis rotning.</t>
  </si>
  <si>
    <t xml:space="preserve">Testikelstatus </t>
  </si>
  <si>
    <t>KODNING</t>
  </si>
  <si>
    <t>Kan inte resa vilt fast det finns slag. Har drevliknande väckskall.</t>
  </si>
  <si>
    <t>Släpp/drev nr</t>
  </si>
  <si>
    <t>Prov avslutas</t>
  </si>
  <si>
    <t>Losstid</t>
  </si>
  <si>
    <t>Kod</t>
  </si>
  <si>
    <t>Mom.1</t>
  </si>
  <si>
    <t>Mom.2</t>
  </si>
  <si>
    <t>Mom.3</t>
  </si>
  <si>
    <t>Mom.4</t>
  </si>
  <si>
    <t>Mom.5</t>
  </si>
  <si>
    <t>Mom.6</t>
  </si>
  <si>
    <t>Mom.7</t>
  </si>
  <si>
    <t>Mom.8</t>
  </si>
  <si>
    <t>Mom.9</t>
  </si>
  <si>
    <t>Mom.10</t>
  </si>
  <si>
    <t>Släppt</t>
  </si>
  <si>
    <t>Start</t>
  </si>
  <si>
    <t>Vägrar söka</t>
  </si>
  <si>
    <t>Vägrar arbete på slag</t>
  </si>
  <si>
    <t>För snabb</t>
  </si>
  <si>
    <t>Ihärdig(metodisk)</t>
  </si>
  <si>
    <t>Ljus skallton</t>
  </si>
  <si>
    <t>Tät</t>
  </si>
  <si>
    <t>Återkommer snabbt</t>
  </si>
  <si>
    <t>Kan inkallas under drev</t>
  </si>
  <si>
    <t>Dålig tillgänglighet</t>
  </si>
  <si>
    <t xml:space="preserve">Ett bra arbete på slag som resulterar i upptag. </t>
  </si>
  <si>
    <t>Slag</t>
  </si>
  <si>
    <t>Långsam</t>
  </si>
  <si>
    <t>Upprepade längre tappter</t>
  </si>
  <si>
    <t>Lämnar snabbt tappten</t>
  </si>
  <si>
    <t>Grov skallton</t>
  </si>
  <si>
    <t>Gles</t>
  </si>
  <si>
    <t>Återkommer ej inom föreskriven tid</t>
  </si>
  <si>
    <t>Kan inkallas under sök</t>
  </si>
  <si>
    <t>Upptag</t>
  </si>
  <si>
    <t>För trångt</t>
  </si>
  <si>
    <t>Måttliga väckskall</t>
  </si>
  <si>
    <t>Enstaka kortare tappter</t>
  </si>
  <si>
    <t>Spårnoga</t>
  </si>
  <si>
    <t>Dubbelskall</t>
  </si>
  <si>
    <t>Repriser</t>
  </si>
  <si>
    <t>Kontakt och svarsskall</t>
  </si>
  <si>
    <t>Kan ej inkallas</t>
  </si>
  <si>
    <t>Utmärkt jaktlust</t>
  </si>
  <si>
    <r>
      <t xml:space="preserve">Effektivt och metodiskt slagarbete med väckskall. Rest vilt efter kort tid. Flera upptag </t>
    </r>
    <r>
      <rPr>
        <sz val="11"/>
        <color rgb="FFFF0000"/>
        <rFont val="Calibri"/>
        <family val="2"/>
        <scheme val="minor"/>
      </rPr>
      <t>utan någon hjälp</t>
    </r>
    <r>
      <rPr>
        <sz val="11"/>
        <color theme="1"/>
        <rFont val="Calibri"/>
        <family val="2"/>
        <scheme val="minor"/>
      </rPr>
      <t xml:space="preserve"> måste ha gjorts. Rest vilt från kalla slag är en merit.</t>
    </r>
  </si>
  <si>
    <t>Tidt upph</t>
  </si>
  <si>
    <t>Tidt.upph</t>
  </si>
  <si>
    <t>För vidsträkt</t>
  </si>
  <si>
    <t>Envis rotning</t>
  </si>
  <si>
    <t>Något hackigt</t>
  </si>
  <si>
    <t>Mycket klangfullt</t>
  </si>
  <si>
    <t>Lös</t>
  </si>
  <si>
    <t>Dålig jaktlust</t>
  </si>
  <si>
    <t>Kopplad</t>
  </si>
  <si>
    <t>Ändrade delpoäng på kollegiet</t>
  </si>
  <si>
    <t>Planlöst</t>
  </si>
  <si>
    <t>Utan väckskall</t>
  </si>
  <si>
    <t>Drev på bakspår/Omdrivning av löpor</t>
  </si>
  <si>
    <t>Vinddrivare</t>
  </si>
  <si>
    <t>Klanglöst</t>
  </si>
  <si>
    <t>Hård</t>
  </si>
  <si>
    <t>Skadorbröst/tassar/testiklar</t>
  </si>
  <si>
    <t>Moment 3</t>
  </si>
  <si>
    <t>Drevsäkerhet</t>
  </si>
  <si>
    <t>Domare</t>
  </si>
  <si>
    <t>Kolleg.</t>
  </si>
  <si>
    <t>Ändrat</t>
  </si>
  <si>
    <t>Skillnad</t>
  </si>
  <si>
    <t>Slut</t>
  </si>
  <si>
    <t>Saknar kotakt m föraren</t>
  </si>
  <si>
    <t>Drevliknande väckskall</t>
  </si>
  <si>
    <t>Flytande/tappfritt</t>
  </si>
  <si>
    <t>Lagom snabb(flytande)</t>
  </si>
  <si>
    <t>Rikliga väckskall</t>
  </si>
  <si>
    <t>Mycket god hörbarhet</t>
  </si>
  <si>
    <t>Mycket god nyansering</t>
  </si>
  <si>
    <t>Drevtider</t>
  </si>
  <si>
    <t>Drev  min</t>
  </si>
  <si>
    <t>Tappt min</t>
  </si>
  <si>
    <t>Moment 1</t>
  </si>
  <si>
    <t>Beräkning delmoment 10</t>
  </si>
  <si>
    <t>Metodiskt</t>
  </si>
  <si>
    <t>Mycket långsam</t>
  </si>
  <si>
    <t>Enstaka väckskall</t>
  </si>
  <si>
    <t>Klangfullt</t>
  </si>
  <si>
    <t>Ingen nyansering</t>
  </si>
  <si>
    <t>Befinner sig oberoende av terräng långt efter drevdjuret.Drevets förflyttning kan inte följas eller bedömas. Driver bakspår långa sträckor.</t>
  </si>
  <si>
    <t>Mom. 2</t>
  </si>
  <si>
    <t>Snabbt</t>
  </si>
  <si>
    <t>Snabb</t>
  </si>
  <si>
    <t>Flertonigt</t>
  </si>
  <si>
    <t>Hetsigt</t>
  </si>
  <si>
    <t>Har dålig kontakt med drevdjuret, många förspringningar, ofta återkommande tappter, driver om löpor, driver bakspår korta sträckor.</t>
  </si>
  <si>
    <t>Mom. 3</t>
  </si>
  <si>
    <t>Kollegie</t>
  </si>
  <si>
    <t>Gäller</t>
  </si>
  <si>
    <t>Kep</t>
  </si>
  <si>
    <t>&lt;20 min</t>
  </si>
  <si>
    <t>OK</t>
  </si>
  <si>
    <t>K.E.B</t>
  </si>
  <si>
    <t>Ej självman återgång kontrollerad</t>
  </si>
  <si>
    <t>Drevet går ur hörhåll</t>
  </si>
  <si>
    <t>Har flera ej prisvärda drev.</t>
  </si>
  <si>
    <t>Mom. 4</t>
  </si>
  <si>
    <t>Mom. 1</t>
  </si>
  <si>
    <t>Avkortat</t>
  </si>
  <si>
    <t>Pris totalt</t>
  </si>
  <si>
    <t>Håller igång drevdjuret i normala repriser. Tappter får förekomma.</t>
  </si>
  <si>
    <t>Mom. 5</t>
  </si>
  <si>
    <t>EP 1-9</t>
  </si>
  <si>
    <t>Medel</t>
  </si>
  <si>
    <t>Mom. 10</t>
  </si>
  <si>
    <t>Mom. 6</t>
  </si>
  <si>
    <t>Håller igång drevdjuret effektivt och metodiskt med få avbrott även under svåra förhållanden. Fler drev där minst 2 är prisvärda.</t>
  </si>
  <si>
    <t>Mom. 7</t>
  </si>
  <si>
    <t>Mom. 8</t>
  </si>
  <si>
    <t>Moment 4</t>
  </si>
  <si>
    <t>Drevsätt</t>
  </si>
  <si>
    <t>Summa min</t>
  </si>
  <si>
    <t>Mom. 9</t>
  </si>
  <si>
    <t>KEP</t>
  </si>
  <si>
    <t>Drevdjur</t>
  </si>
  <si>
    <t>&lt;20min</t>
  </si>
  <si>
    <t>Bakspårsdrivare vid flera tillfällen och längre sträckor. Utpräglad vinddrivare med många längre förspringningar.</t>
  </si>
  <si>
    <t>Provförlopp/upplysningar/sammanfattning</t>
  </si>
  <si>
    <t>Provet avbröts kl</t>
  </si>
  <si>
    <t>Hunden lös total tid</t>
  </si>
  <si>
    <t>min</t>
  </si>
  <si>
    <t>Normal</t>
  </si>
  <si>
    <t>Flera kortare ej prisvärda drev i god kontakt med drevdjuret .</t>
  </si>
  <si>
    <t>Domarens</t>
  </si>
  <si>
    <t>Ändrade</t>
  </si>
  <si>
    <t>Koder</t>
  </si>
  <si>
    <t>Delmoment</t>
  </si>
  <si>
    <t xml:space="preserve">      EP</t>
  </si>
  <si>
    <t xml:space="preserve">  EP</t>
  </si>
  <si>
    <t>Nr</t>
  </si>
  <si>
    <t>Hopslagna drev</t>
  </si>
  <si>
    <t>Max tid</t>
  </si>
  <si>
    <t>Priskontroll</t>
  </si>
  <si>
    <t>Valt prisdrev</t>
  </si>
  <si>
    <t>Anpassar drevfarten efter förhållande och drevdjur, är spårnoga med få förspringningar. 1:a pris + ytterliggare prisvärt drev.</t>
  </si>
  <si>
    <t>1.Sök</t>
  </si>
  <si>
    <t>X</t>
  </si>
  <si>
    <t xml:space="preserve">Tid  </t>
  </si>
  <si>
    <t>Stop</t>
  </si>
  <si>
    <t>Lika djur</t>
  </si>
  <si>
    <t>Dom.Pris</t>
  </si>
  <si>
    <t>Valör</t>
  </si>
  <si>
    <t>2. Upptagsförmåga</t>
  </si>
  <si>
    <t>Moment 5</t>
  </si>
  <si>
    <t>Tapptarbete</t>
  </si>
  <si>
    <t>3. Drevsäkerhet</t>
  </si>
  <si>
    <t>4. Drevsätt</t>
  </si>
  <si>
    <t>Helt planlöst tapptarbete. Inte är intresserad av tapptarbetet. Envis rotning.</t>
  </si>
  <si>
    <t>5. Tapptarbete</t>
  </si>
  <si>
    <t>Slarvigt tapptarbete. Lämnar tapptet efter kort tid. Går inte självmant tillbaks till tapptet. Har drevliknande skall under tapptarbetet.</t>
  </si>
  <si>
    <t>6. Skall hörbarhet</t>
  </si>
  <si>
    <t>VALT</t>
  </si>
  <si>
    <t xml:space="preserve">7. Skallmarkering </t>
  </si>
  <si>
    <t>Löser sina tappter på ett bra sätt.</t>
  </si>
  <si>
    <t>8. Samarbete</t>
  </si>
  <si>
    <t>Har 1 prisvärt tapptfritt drev under normala förhållanden.</t>
  </si>
  <si>
    <t>Koll skrivna drevtider</t>
  </si>
  <si>
    <t>9. Lydnad</t>
  </si>
  <si>
    <t>Max</t>
  </si>
  <si>
    <t>Korta drev</t>
  </si>
  <si>
    <r>
      <t xml:space="preserve">Effektivt och metodiskt löser tappter på ett </t>
    </r>
    <r>
      <rPr>
        <i/>
        <sz val="11"/>
        <color theme="1"/>
        <rFont val="Calibri"/>
        <family val="2"/>
        <scheme val="minor"/>
      </rPr>
      <t xml:space="preserve">utmärkt </t>
    </r>
    <r>
      <rPr>
        <sz val="11"/>
        <color theme="1"/>
        <rFont val="Calibri"/>
        <family val="2"/>
        <scheme val="minor"/>
      </rPr>
      <t>sätt även under svåra förhållanden.</t>
    </r>
  </si>
  <si>
    <t>tot tid</t>
  </si>
  <si>
    <t>prisdrevtid</t>
  </si>
  <si>
    <t>10. Jaktduglighet</t>
  </si>
  <si>
    <t>Tim</t>
  </si>
  <si>
    <t>Min</t>
  </si>
  <si>
    <t>Allt min</t>
  </si>
  <si>
    <t>S:a egenskapspoäng</t>
  </si>
  <si>
    <t>Moment 6</t>
  </si>
  <si>
    <t>Skall-Hörbarhet</t>
  </si>
  <si>
    <t>Domarens förslag</t>
  </si>
  <si>
    <t>Kollegiets beslut</t>
  </si>
  <si>
    <t>Maxtid</t>
  </si>
  <si>
    <t>Lika</t>
  </si>
  <si>
    <t>Klart</t>
  </si>
  <si>
    <t xml:space="preserve">Pris </t>
  </si>
  <si>
    <t>Djurslag</t>
  </si>
  <si>
    <t>Räv</t>
  </si>
  <si>
    <t>Rådjur</t>
  </si>
  <si>
    <t>Hjort</t>
  </si>
  <si>
    <t>Kanin</t>
  </si>
  <si>
    <t>Kombi</t>
  </si>
  <si>
    <t>Sammanslag lika djur</t>
  </si>
  <si>
    <t>Mycket dålig hörbarhet trots nära avstånd i normal terräng.</t>
  </si>
  <si>
    <t>Provform</t>
  </si>
  <si>
    <t>Sammanslag 45 min</t>
  </si>
  <si>
    <t>Dåligt skall som inte tränger igenom utan att några egentliga hinder finns. Domaren har svårighet att bedomma drevet trots närheten till buktområdet.</t>
  </si>
  <si>
    <t xml:space="preserve">                                                           </t>
  </si>
  <si>
    <t>Domare:</t>
  </si>
  <si>
    <t>EP</t>
  </si>
  <si>
    <t>Valt drev</t>
  </si>
  <si>
    <r>
      <t xml:space="preserve">Skall med </t>
    </r>
    <r>
      <rPr>
        <i/>
        <sz val="11"/>
        <color theme="1"/>
        <rFont val="Calibri"/>
        <family val="2"/>
        <scheme val="minor"/>
      </rPr>
      <t xml:space="preserve">bra </t>
    </r>
    <r>
      <rPr>
        <sz val="11"/>
        <color theme="1"/>
        <rFont val="Calibri"/>
        <family val="2"/>
        <scheme val="minor"/>
      </rPr>
      <t>hörbarhet vid normala förhållanden.</t>
    </r>
  </si>
  <si>
    <t>Datum</t>
  </si>
  <si>
    <t>Fullmäktige</t>
  </si>
  <si>
    <t>D-cert</t>
  </si>
  <si>
    <r>
      <t xml:space="preserve">Skallet är klangfullt/flertonigt med </t>
    </r>
    <r>
      <rPr>
        <i/>
        <sz val="11"/>
        <color theme="1"/>
        <rFont val="Calibri"/>
        <family val="2"/>
        <scheme val="minor"/>
      </rPr>
      <t xml:space="preserve">utmärkt </t>
    </r>
    <r>
      <rPr>
        <sz val="11"/>
        <color theme="1"/>
        <rFont val="Calibri"/>
        <family val="2"/>
        <scheme val="minor"/>
      </rPr>
      <t>hörbarhetpå långt håll vid normala förhållanden. Avstånd kan mätas med GPS.</t>
    </r>
  </si>
  <si>
    <t>Elev/aspirant</t>
  </si>
  <si>
    <t>Drevtid</t>
  </si>
  <si>
    <t>Arttid</t>
  </si>
  <si>
    <t>1 pris</t>
  </si>
  <si>
    <t>2 drapris</t>
  </si>
  <si>
    <t>Tillbaks</t>
  </si>
  <si>
    <t>Lämplig</t>
  </si>
  <si>
    <t>RESULTAT</t>
  </si>
  <si>
    <t>Vilka är hopslagna dreven</t>
  </si>
  <si>
    <t>Moment 7</t>
  </si>
  <si>
    <t>Skallmarkering</t>
  </si>
  <si>
    <t>Tot tid</t>
  </si>
  <si>
    <t>Drev2</t>
  </si>
  <si>
    <t>Djur i siffror</t>
  </si>
  <si>
    <t>Tillbaks och lämplig är ej inkopplade</t>
  </si>
  <si>
    <t>Skallgivningen är så lös eller hård att domaren måste se hunden för att avgöra drevets förlopp, samt att drevet inte kan bedömas på ett riktigt sätt.</t>
  </si>
  <si>
    <t>1:a</t>
  </si>
  <si>
    <t>2:dra</t>
  </si>
  <si>
    <t>Skallet är löst/hårt. Nyansieringen är så dålig att under normala betingelser drevet med svårighet kan följas.</t>
  </si>
  <si>
    <t>Bra skall och nyansering.</t>
  </si>
  <si>
    <t>Djuret skall ha setts.</t>
  </si>
  <si>
    <t>Moment 10 beräkningsunderlag</t>
  </si>
  <si>
    <t>Skallet nyanseras så avståndet till drevdjuret klart kan bedömas av intensiteten. Djuret skall ha setts.</t>
  </si>
  <si>
    <t>Start/slut</t>
  </si>
  <si>
    <t>Djur siffror</t>
  </si>
  <si>
    <t>tid</t>
  </si>
  <si>
    <t>Moment 8</t>
  </si>
  <si>
    <t>Samarbete</t>
  </si>
  <si>
    <t>Värde i moment = 0</t>
  </si>
  <si>
    <t>Banksteg = 1</t>
  </si>
  <si>
    <t>Släpper förarkontakten helt. Går på långskjuts och återvänder mer än 3 timmar efter provdagens slut, trots att den har haft möjlighet härtill.</t>
  </si>
  <si>
    <t>Efter  drev/tapptarbete reser nytt drevdjur i annat område utan att ha sökt kontakt med föraren. Går på långskjuts och inte självmant återvänder till föraren eller släppområdet.</t>
  </si>
  <si>
    <t>Vid sök innan slag håller god kontakt med föraren. Där samarbetet ej har gått att bedöma.</t>
  </si>
  <si>
    <t>Bra kontakt med föraren vid sök/eller återkommer självmant efter avslutat drev/tapptarbete, på tillåtet drevdjur, inom rimlig tid.</t>
  </si>
  <si>
    <t>Tid i min</t>
  </si>
  <si>
    <r>
      <t>Har</t>
    </r>
    <r>
      <rPr>
        <i/>
        <sz val="11"/>
        <color theme="1"/>
        <rFont val="Calibri"/>
        <family val="2"/>
        <scheme val="minor"/>
      </rPr>
      <t xml:space="preserve"> utmärkt</t>
    </r>
    <r>
      <rPr>
        <sz val="11"/>
        <color theme="1"/>
        <rFont val="Calibri"/>
        <family val="2"/>
        <scheme val="minor"/>
      </rPr>
      <t xml:space="preserve"> kontakt med föraren under sök, innan slag.  Efter drev/tapptarbete på tillåtet drevdjur omedelbart söker kontakt med föraren. Har förstånd att lägga av vid långskjuts.</t>
    </r>
  </si>
  <si>
    <t>Drevtid och provet avbröts felaktig</t>
  </si>
  <si>
    <t>Moment 9</t>
  </si>
  <si>
    <t>Lydnad</t>
  </si>
  <si>
    <t xml:space="preserve">Drev </t>
  </si>
  <si>
    <t>Drevslut</t>
  </si>
  <si>
    <t>Hunden springer undan föraren och endast med list kan fångas eller måste lämnas kvar på provmarken.</t>
  </si>
  <si>
    <t>Trots god kontakt med föraren svårligen låter sig inkallas och kopplas.</t>
  </si>
  <si>
    <t>När hunden kan inkallas från sök eller arbete på slag i närheten av föraren samt kopplas under lugna former.</t>
  </si>
  <si>
    <t>Kan inkallas från långt håll från föraren. Kommer självmant till föraren.</t>
  </si>
  <si>
    <t>Medlemsnummer till Journalen</t>
  </si>
  <si>
    <t>Provet avbröts</t>
  </si>
  <si>
    <t>Moment 10</t>
  </si>
  <si>
    <t>Jaktduglighet</t>
  </si>
  <si>
    <t>Hund nr</t>
  </si>
  <si>
    <t>Medlm.nr</t>
  </si>
  <si>
    <t>1=fel tid</t>
  </si>
  <si>
    <t>SISTA DREVET UPPHÖRDE SENARE ÄN DÅ PROVET UPPHÖRT</t>
  </si>
  <si>
    <t>Kan ges när hundens jaktduglighet är är mycket dålig sam med oacceptabelt beteende.</t>
  </si>
  <si>
    <t>Kan ges när hundens jaktduglighet är dålig.</t>
  </si>
  <si>
    <t>Kan ges när hundens jaktduglighet är bra</t>
  </si>
  <si>
    <t>Kan ges när hundens jaktduglighet är utmärkt.</t>
  </si>
  <si>
    <t xml:space="preserve">             </t>
  </si>
  <si>
    <t>Lämplig rå/hjort-hund</t>
  </si>
  <si>
    <t>Hår/Strl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</si>
</sst>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yyyy/mm/dd;@"/>
    <numFmt numFmtId="166" formatCode="0.0"/>
    <numFmt numFmtId="167" formatCode="[$-F400]h:mm:ss\ AM/PM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theme="1"/>
      <name val="Arial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sz val="20"/>
      <name val="Brush Script MT"/>
      <family val="4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 applyProtection="1">
      <alignment shrinkToFit="1"/>
      <protection locked="0"/>
    </xf>
    <xf numFmtId="0" fontId="1" fillId="0" borderId="0" xfId="0" applyFont="1"/>
    <xf numFmtId="20" fontId="1" fillId="0" borderId="0" xfId="0" applyNumberFormat="1" applyFont="1"/>
    <xf numFmtId="49" fontId="8" fillId="0" borderId="0" xfId="0" applyNumberFormat="1" applyFont="1"/>
    <xf numFmtId="49" fontId="0" fillId="0" borderId="0" xfId="0" applyNumberFormat="1"/>
    <xf numFmtId="0" fontId="9" fillId="0" borderId="0" xfId="0" applyFont="1"/>
    <xf numFmtId="0" fontId="7" fillId="0" borderId="0" xfId="0" applyFont="1" applyAlignment="1">
      <alignment horizontal="left"/>
    </xf>
    <xf numFmtId="49" fontId="8" fillId="0" borderId="1" xfId="0" applyNumberFormat="1" applyFont="1" applyBorder="1" applyAlignment="1">
      <alignment vertical="top"/>
    </xf>
    <xf numFmtId="49" fontId="0" fillId="0" borderId="2" xfId="0" applyNumberFormat="1" applyBorder="1"/>
    <xf numFmtId="0" fontId="0" fillId="0" borderId="2" xfId="0" applyBorder="1"/>
    <xf numFmtId="0" fontId="0" fillId="0" borderId="4" xfId="0" applyBorder="1"/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/>
    <xf numFmtId="0" fontId="0" fillId="0" borderId="5" xfId="0" applyBorder="1"/>
    <xf numFmtId="0" fontId="7" fillId="0" borderId="0" xfId="0" applyFont="1"/>
    <xf numFmtId="0" fontId="2" fillId="0" borderId="0" xfId="0" applyFont="1" applyAlignment="1">
      <alignment horizontal="center"/>
    </xf>
    <xf numFmtId="0" fontId="16" fillId="0" borderId="0" xfId="0" applyFont="1"/>
    <xf numFmtId="49" fontId="17" fillId="0" borderId="6" xfId="0" applyNumberFormat="1" applyFont="1" applyBorder="1"/>
    <xf numFmtId="0" fontId="0" fillId="0" borderId="7" xfId="0" applyBorder="1"/>
    <xf numFmtId="0" fontId="13" fillId="0" borderId="0" xfId="0" applyFont="1" applyAlignment="1">
      <alignment shrinkToFit="1"/>
    </xf>
    <xf numFmtId="0" fontId="13" fillId="0" borderId="0" xfId="0" applyFont="1" applyAlignment="1" applyProtection="1">
      <alignment shrinkToFit="1"/>
      <protection locked="0"/>
    </xf>
    <xf numFmtId="0" fontId="10" fillId="0" borderId="0" xfId="0" applyFont="1" applyAlignment="1" applyProtection="1">
      <alignment shrinkToFit="1"/>
      <protection locked="0"/>
    </xf>
    <xf numFmtId="0" fontId="18" fillId="0" borderId="0" xfId="0" applyFont="1" applyAlignment="1">
      <alignment horizontal="center"/>
    </xf>
    <xf numFmtId="0" fontId="19" fillId="0" borderId="0" xfId="0" applyFont="1"/>
    <xf numFmtId="0" fontId="2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0" fillId="0" borderId="10" xfId="0" applyFont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10" fillId="0" borderId="0" xfId="0" applyFont="1" applyAlignment="1" applyProtection="1">
      <alignment horizontal="center" shrinkToFit="1"/>
      <protection locked="0"/>
    </xf>
    <xf numFmtId="0" fontId="20" fillId="2" borderId="14" xfId="0" applyFont="1" applyFill="1" applyBorder="1" applyAlignment="1" applyProtection="1">
      <alignment horizontal="center" shrinkToFit="1"/>
      <protection locked="0"/>
    </xf>
    <xf numFmtId="0" fontId="20" fillId="0" borderId="14" xfId="0" applyFont="1" applyBorder="1" applyAlignment="1" applyProtection="1">
      <alignment horizontal="center" shrinkToFit="1"/>
      <protection locked="0"/>
    </xf>
    <xf numFmtId="0" fontId="21" fillId="0" borderId="0" xfId="0" applyFont="1"/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2" fillId="0" borderId="0" xfId="0" applyFont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49" fontId="9" fillId="0" borderId="6" xfId="0" applyNumberFormat="1" applyFont="1" applyBorder="1"/>
    <xf numFmtId="49" fontId="9" fillId="0" borderId="0" xfId="0" applyNumberFormat="1" applyFont="1"/>
    <xf numFmtId="0" fontId="9" fillId="0" borderId="17" xfId="0" applyFont="1" applyBorder="1"/>
    <xf numFmtId="0" fontId="9" fillId="0" borderId="18" xfId="0" applyFont="1" applyBorder="1"/>
    <xf numFmtId="164" fontId="20" fillId="0" borderId="14" xfId="0" applyNumberFormat="1" applyFont="1" applyBorder="1"/>
    <xf numFmtId="1" fontId="20" fillId="0" borderId="14" xfId="0" applyNumberFormat="1" applyFont="1" applyBorder="1"/>
    <xf numFmtId="0" fontId="25" fillId="0" borderId="14" xfId="0" applyFont="1" applyBorder="1"/>
    <xf numFmtId="1" fontId="21" fillId="0" borderId="14" xfId="0" applyNumberFormat="1" applyFont="1" applyBorder="1" applyAlignment="1" applyProtection="1">
      <alignment shrinkToFit="1"/>
      <protection locked="0"/>
    </xf>
    <xf numFmtId="0" fontId="20" fillId="0" borderId="14" xfId="0" applyFont="1" applyBorder="1"/>
    <xf numFmtId="0" fontId="20" fillId="0" borderId="15" xfId="0" applyFont="1" applyBorder="1"/>
    <xf numFmtId="0" fontId="9" fillId="0" borderId="14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locked="0"/>
    </xf>
    <xf numFmtId="164" fontId="21" fillId="0" borderId="14" xfId="0" applyNumberFormat="1" applyFont="1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20" xfId="0" applyBorder="1"/>
    <xf numFmtId="49" fontId="9" fillId="0" borderId="21" xfId="0" applyNumberFormat="1" applyFont="1" applyBorder="1"/>
    <xf numFmtId="49" fontId="9" fillId="0" borderId="22" xfId="0" applyNumberFormat="1" applyFont="1" applyBorder="1"/>
    <xf numFmtId="49" fontId="9" fillId="0" borderId="17" xfId="0" applyNumberFormat="1" applyFont="1" applyBorder="1"/>
    <xf numFmtId="0" fontId="9" fillId="0" borderId="22" xfId="0" applyFont="1" applyBorder="1"/>
    <xf numFmtId="0" fontId="9" fillId="0" borderId="23" xfId="0" applyFont="1" applyBorder="1"/>
    <xf numFmtId="164" fontId="27" fillId="0" borderId="14" xfId="0" applyNumberFormat="1" applyFont="1" applyBorder="1"/>
    <xf numFmtId="1" fontId="27" fillId="0" borderId="14" xfId="0" applyNumberFormat="1" applyFont="1" applyBorder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1" fontId="0" fillId="0" borderId="0" xfId="0" applyNumberFormat="1"/>
    <xf numFmtId="0" fontId="21" fillId="0" borderId="0" xfId="0" applyFont="1" applyProtection="1">
      <protection locked="0"/>
    </xf>
    <xf numFmtId="164" fontId="21" fillId="0" borderId="14" xfId="0" applyNumberFormat="1" applyFont="1" applyBorder="1" applyProtection="1">
      <protection locked="0"/>
    </xf>
    <xf numFmtId="0" fontId="21" fillId="0" borderId="14" xfId="0" applyFont="1" applyBorder="1" applyProtection="1">
      <protection locked="0"/>
    </xf>
    <xf numFmtId="49" fontId="9" fillId="0" borderId="7" xfId="0" applyNumberFormat="1" applyFont="1" applyBorder="1"/>
    <xf numFmtId="0" fontId="17" fillId="0" borderId="0" xfId="0" applyFont="1"/>
    <xf numFmtId="0" fontId="17" fillId="0" borderId="29" xfId="0" applyFont="1" applyBorder="1"/>
    <xf numFmtId="49" fontId="2" fillId="0" borderId="0" xfId="0" applyNumberFormat="1" applyFont="1" applyAlignment="1">
      <alignment shrinkToFit="1"/>
    </xf>
    <xf numFmtId="49" fontId="2" fillId="0" borderId="0" xfId="0" applyNumberFormat="1" applyFont="1" applyAlignment="1" applyProtection="1">
      <alignment shrinkToFit="1"/>
      <protection locked="0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0" fillId="0" borderId="6" xfId="0" applyNumberFormat="1" applyBorder="1"/>
    <xf numFmtId="49" fontId="11" fillId="0" borderId="0" xfId="0" applyNumberFormat="1" applyFont="1" applyAlignment="1" applyProtection="1">
      <alignment horizontal="center"/>
      <protection locked="0"/>
    </xf>
    <xf numFmtId="0" fontId="0" fillId="0" borderId="18" xfId="0" applyBorder="1"/>
    <xf numFmtId="0" fontId="23" fillId="0" borderId="0" xfId="0" applyFont="1" applyAlignment="1">
      <alignment horizontal="center"/>
    </xf>
    <xf numFmtId="0" fontId="0" fillId="0" borderId="6" xfId="0" applyBorder="1"/>
    <xf numFmtId="0" fontId="12" fillId="0" borderId="0" xfId="0" applyFont="1"/>
    <xf numFmtId="0" fontId="0" fillId="0" borderId="14" xfId="0" applyBorder="1" applyAlignment="1">
      <alignment horizontal="center"/>
    </xf>
    <xf numFmtId="0" fontId="29" fillId="0" borderId="0" xfId="0" applyFont="1"/>
    <xf numFmtId="0" fontId="2" fillId="0" borderId="30" xfId="0" applyFont="1" applyBorder="1"/>
    <xf numFmtId="0" fontId="2" fillId="0" borderId="31" xfId="0" applyFont="1" applyBorder="1"/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22" xfId="0" applyBorder="1"/>
    <xf numFmtId="0" fontId="0" fillId="0" borderId="34" xfId="0" applyBorder="1"/>
    <xf numFmtId="0" fontId="0" fillId="0" borderId="35" xfId="0" applyBorder="1"/>
    <xf numFmtId="164" fontId="30" fillId="0" borderId="0" xfId="0" applyNumberFormat="1" applyFont="1" applyAlignment="1">
      <alignment horizontal="center"/>
    </xf>
    <xf numFmtId="164" fontId="30" fillId="0" borderId="0" xfId="0" applyNumberFormat="1" applyFont="1" applyAlignment="1" applyProtection="1">
      <alignment horizontal="center"/>
      <protection locked="0"/>
    </xf>
    <xf numFmtId="1" fontId="17" fillId="0" borderId="14" xfId="0" applyNumberFormat="1" applyFont="1" applyBorder="1" applyAlignment="1" applyProtection="1">
      <alignment horizontal="center"/>
      <protection locked="0"/>
    </xf>
    <xf numFmtId="164" fontId="31" fillId="0" borderId="14" xfId="0" applyNumberFormat="1" applyFont="1" applyBorder="1"/>
    <xf numFmtId="164" fontId="0" fillId="0" borderId="14" xfId="0" applyNumberFormat="1" applyBorder="1"/>
    <xf numFmtId="20" fontId="0" fillId="0" borderId="0" xfId="0" applyNumberFormat="1" applyAlignment="1" applyProtection="1">
      <alignment horizontal="center"/>
      <protection locked="0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0" fillId="0" borderId="15" xfId="0" applyNumberFormat="1" applyFont="1" applyBorder="1" applyAlignment="1" applyProtection="1">
      <alignment horizontal="center"/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20" fontId="31" fillId="0" borderId="14" xfId="0" applyNumberFormat="1" applyFont="1" applyBorder="1" applyProtection="1">
      <protection locked="0"/>
    </xf>
    <xf numFmtId="0" fontId="0" fillId="0" borderId="10" xfId="0" applyBorder="1"/>
    <xf numFmtId="1" fontId="0" fillId="0" borderId="37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164" fontId="33" fillId="0" borderId="0" xfId="0" applyNumberFormat="1" applyFont="1" applyAlignment="1" applyProtection="1">
      <alignment horizontal="left"/>
      <protection locked="0"/>
    </xf>
    <xf numFmtId="164" fontId="0" fillId="0" borderId="37" xfId="0" applyNumberFormat="1" applyBorder="1"/>
    <xf numFmtId="1" fontId="2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24" xfId="0" applyBorder="1"/>
    <xf numFmtId="0" fontId="0" fillId="0" borderId="25" xfId="0" applyBorder="1"/>
    <xf numFmtId="1" fontId="30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/>
    <xf numFmtId="0" fontId="34" fillId="0" borderId="42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1" fontId="34" fillId="0" borderId="14" xfId="0" applyNumberFormat="1" applyFont="1" applyBorder="1" applyAlignment="1">
      <alignment horizontal="center" vertical="center"/>
    </xf>
    <xf numFmtId="20" fontId="34" fillId="4" borderId="44" xfId="0" applyNumberFormat="1" applyFont="1" applyFill="1" applyBorder="1" applyAlignment="1" applyProtection="1">
      <alignment horizontal="center"/>
      <protection locked="0"/>
    </xf>
    <xf numFmtId="20" fontId="34" fillId="4" borderId="14" xfId="0" applyNumberFormat="1" applyFont="1" applyFill="1" applyBorder="1" applyAlignment="1" applyProtection="1">
      <alignment horizontal="center"/>
      <protection locked="0"/>
    </xf>
    <xf numFmtId="1" fontId="34" fillId="0" borderId="37" xfId="0" applyNumberFormat="1" applyFont="1" applyBorder="1" applyAlignment="1" applyProtection="1">
      <alignment horizontal="center" vertical="center"/>
      <protection locked="0"/>
    </xf>
    <xf numFmtId="1" fontId="34" fillId="0" borderId="0" xfId="0" applyNumberFormat="1" applyFont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5" xfId="0" applyBorder="1" applyAlignment="1">
      <alignment horizontal="center"/>
    </xf>
    <xf numFmtId="1" fontId="23" fillId="0" borderId="0" xfId="0" applyNumberFormat="1" applyFont="1" applyAlignment="1" applyProtection="1">
      <alignment horizontal="center"/>
      <protection locked="0"/>
    </xf>
    <xf numFmtId="0" fontId="0" fillId="5" borderId="45" xfId="0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34" fillId="0" borderId="14" xfId="0" applyNumberFormat="1" applyFont="1" applyBorder="1" applyAlignment="1" applyProtection="1">
      <alignment horizontal="center" vertical="center"/>
      <protection locked="0"/>
    </xf>
    <xf numFmtId="0" fontId="34" fillId="0" borderId="36" xfId="0" applyFont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  <xf numFmtId="0" fontId="34" fillId="0" borderId="44" xfId="0" applyFont="1" applyBorder="1" applyProtection="1">
      <protection locked="0"/>
    </xf>
    <xf numFmtId="0" fontId="34" fillId="0" borderId="14" xfId="0" applyFont="1" applyBorder="1" applyProtection="1">
      <protection locked="0"/>
    </xf>
    <xf numFmtId="0" fontId="35" fillId="0" borderId="46" xfId="0" applyFont="1" applyBorder="1" applyAlignment="1" applyProtection="1">
      <alignment horizontal="center"/>
      <protection locked="0"/>
    </xf>
    <xf numFmtId="0" fontId="35" fillId="0" borderId="47" xfId="0" applyFont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0" fillId="5" borderId="14" xfId="0" applyFill="1" applyBorder="1" applyAlignment="1">
      <alignment horizontal="center"/>
    </xf>
    <xf numFmtId="20" fontId="0" fillId="0" borderId="0" xfId="0" applyNumberFormat="1"/>
    <xf numFmtId="0" fontId="10" fillId="4" borderId="14" xfId="0" applyFont="1" applyFill="1" applyBorder="1" applyAlignment="1" applyProtection="1">
      <alignment horizontal="center"/>
      <protection locked="0"/>
    </xf>
    <xf numFmtId="0" fontId="0" fillId="5" borderId="36" xfId="0" applyFill="1" applyBorder="1" applyAlignment="1">
      <alignment horizontal="center"/>
    </xf>
    <xf numFmtId="0" fontId="37" fillId="0" borderId="0" xfId="0" applyFont="1" applyAlignment="1" applyProtection="1">
      <alignment horizontal="left"/>
      <protection locked="0"/>
    </xf>
    <xf numFmtId="1" fontId="34" fillId="0" borderId="37" xfId="0" applyNumberFormat="1" applyFont="1" applyBorder="1" applyAlignment="1">
      <alignment horizontal="center" vertical="center"/>
    </xf>
    <xf numFmtId="0" fontId="34" fillId="0" borderId="37" xfId="0" applyFont="1" applyBorder="1" applyAlignment="1">
      <alignment horizontal="center" wrapText="1"/>
    </xf>
    <xf numFmtId="0" fontId="17" fillId="0" borderId="30" xfId="0" applyFont="1" applyBorder="1"/>
    <xf numFmtId="0" fontId="17" fillId="0" borderId="31" xfId="0" applyFont="1" applyBorder="1"/>
    <xf numFmtId="0" fontId="17" fillId="0" borderId="32" xfId="0" applyFont="1" applyBorder="1"/>
    <xf numFmtId="20" fontId="11" fillId="6" borderId="31" xfId="0" applyNumberFormat="1" applyFont="1" applyFill="1" applyBorder="1" applyProtection="1">
      <protection locked="0"/>
    </xf>
    <xf numFmtId="1" fontId="11" fillId="6" borderId="31" xfId="0" applyNumberFormat="1" applyFont="1" applyFill="1" applyBorder="1" applyAlignment="1" applyProtection="1">
      <alignment horizontal="right"/>
      <protection locked="0"/>
    </xf>
    <xf numFmtId="0" fontId="9" fillId="0" borderId="33" xfId="0" applyFont="1" applyBorder="1"/>
    <xf numFmtId="0" fontId="12" fillId="0" borderId="1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7" borderId="0" xfId="0" applyFill="1"/>
    <xf numFmtId="0" fontId="0" fillId="0" borderId="21" xfId="0" applyBorder="1"/>
    <xf numFmtId="0" fontId="0" fillId="0" borderId="29" xfId="0" applyBorder="1"/>
    <xf numFmtId="0" fontId="9" fillId="0" borderId="8" xfId="0" applyFont="1" applyBorder="1"/>
    <xf numFmtId="0" fontId="9" fillId="0" borderId="29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38" fillId="0" borderId="7" xfId="0" applyFont="1" applyBorder="1"/>
    <xf numFmtId="0" fontId="0" fillId="0" borderId="9" xfId="0" applyBorder="1"/>
    <xf numFmtId="0" fontId="9" fillId="0" borderId="52" xfId="0" applyFont="1" applyBorder="1"/>
    <xf numFmtId="0" fontId="12" fillId="0" borderId="12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0" xfId="0" applyFont="1"/>
    <xf numFmtId="0" fontId="0" fillId="0" borderId="52" xfId="0" applyBorder="1"/>
    <xf numFmtId="0" fontId="34" fillId="0" borderId="15" xfId="0" applyFont="1" applyBorder="1"/>
    <xf numFmtId="0" fontId="34" fillId="0" borderId="20" xfId="0" applyFont="1" applyBorder="1"/>
    <xf numFmtId="0" fontId="30" fillId="4" borderId="15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17" fillId="4" borderId="15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37" xfId="0" applyBorder="1"/>
    <xf numFmtId="0" fontId="0" fillId="0" borderId="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31" fillId="7" borderId="0" xfId="0" applyFont="1" applyFill="1" applyAlignment="1">
      <alignment shrinkToFit="1"/>
    </xf>
    <xf numFmtId="0" fontId="2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4" fillId="0" borderId="38" xfId="0" applyFont="1" applyBorder="1"/>
    <xf numFmtId="0" fontId="34" fillId="0" borderId="40" xfId="0" applyFont="1" applyBorder="1"/>
    <xf numFmtId="0" fontId="30" fillId="5" borderId="38" xfId="0" applyFont="1" applyFill="1" applyBorder="1" applyAlignment="1" applyProtection="1">
      <alignment horizontal="center"/>
      <protection locked="0"/>
    </xf>
    <xf numFmtId="0" fontId="17" fillId="4" borderId="38" xfId="0" applyFont="1" applyFill="1" applyBorder="1" applyAlignment="1" applyProtection="1">
      <alignment horizontal="center"/>
      <protection locked="0"/>
    </xf>
    <xf numFmtId="0" fontId="17" fillId="2" borderId="49" xfId="0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1" fontId="0" fillId="6" borderId="14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26" xfId="0" applyBorder="1"/>
    <xf numFmtId="0" fontId="10" fillId="5" borderId="55" xfId="0" applyFont="1" applyFill="1" applyBorder="1" applyAlignment="1" applyProtection="1">
      <alignment horizontal="center"/>
      <protection locked="0"/>
    </xf>
    <xf numFmtId="0" fontId="0" fillId="8" borderId="25" xfId="0" applyFill="1" applyBorder="1"/>
    <xf numFmtId="0" fontId="0" fillId="8" borderId="28" xfId="0" applyFill="1" applyBorder="1"/>
    <xf numFmtId="0" fontId="2" fillId="0" borderId="0" xfId="0" applyFont="1" applyAlignment="1">
      <alignment horizontal="right"/>
    </xf>
    <xf numFmtId="1" fontId="2" fillId="0" borderId="0" xfId="0" applyNumberFormat="1" applyFont="1" applyAlignment="1" applyProtection="1">
      <alignment horizontal="center"/>
      <protection locked="0"/>
    </xf>
    <xf numFmtId="164" fontId="0" fillId="9" borderId="14" xfId="0" applyNumberFormat="1" applyFill="1" applyBorder="1"/>
    <xf numFmtId="1" fontId="0" fillId="9" borderId="14" xfId="0" applyNumberFormat="1" applyFill="1" applyBorder="1" applyAlignment="1">
      <alignment horizontal="center"/>
    </xf>
    <xf numFmtId="0" fontId="9" fillId="0" borderId="10" xfId="0" applyFont="1" applyBorder="1"/>
    <xf numFmtId="0" fontId="9" fillId="0" borderId="29" xfId="0" applyFont="1" applyBorder="1"/>
    <xf numFmtId="0" fontId="0" fillId="0" borderId="6" xfId="0" applyBorder="1" applyAlignment="1">
      <alignment horizontal="right"/>
    </xf>
    <xf numFmtId="0" fontId="19" fillId="5" borderId="14" xfId="0" applyFont="1" applyFill="1" applyBorder="1" applyAlignment="1" applyProtection="1">
      <alignment horizontal="center"/>
      <protection locked="0"/>
    </xf>
    <xf numFmtId="0" fontId="7" fillId="0" borderId="22" xfId="0" applyFont="1" applyBorder="1"/>
    <xf numFmtId="0" fontId="34" fillId="0" borderId="14" xfId="0" applyFont="1" applyBorder="1"/>
    <xf numFmtId="0" fontId="34" fillId="0" borderId="0" xfId="0" applyFont="1"/>
    <xf numFmtId="0" fontId="10" fillId="0" borderId="0" xfId="0" applyFont="1" applyAlignment="1">
      <alignment horizontal="center"/>
    </xf>
    <xf numFmtId="0" fontId="31" fillId="0" borderId="14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9" fillId="0" borderId="24" xfId="0" applyFont="1" applyBorder="1"/>
    <xf numFmtId="0" fontId="10" fillId="0" borderId="14" xfId="0" applyFont="1" applyBorder="1" applyAlignment="1" applyProtection="1">
      <alignment horizontal="center"/>
      <protection locked="0"/>
    </xf>
    <xf numFmtId="0" fontId="34" fillId="0" borderId="37" xfId="0" applyFont="1" applyBorder="1"/>
    <xf numFmtId="0" fontId="34" fillId="0" borderId="10" xfId="0" applyFont="1" applyBorder="1"/>
    <xf numFmtId="0" fontId="10" fillId="0" borderId="15" xfId="0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9" fillId="0" borderId="57" xfId="0" applyFont="1" applyBorder="1"/>
    <xf numFmtId="0" fontId="9" fillId="0" borderId="6" xfId="0" applyFont="1" applyBorder="1"/>
    <xf numFmtId="0" fontId="9" fillId="0" borderId="7" xfId="0" applyFont="1" applyBorder="1"/>
    <xf numFmtId="49" fontId="17" fillId="0" borderId="0" xfId="0" applyNumberFormat="1" applyFont="1"/>
    <xf numFmtId="0" fontId="43" fillId="0" borderId="0" xfId="0" applyFont="1" applyAlignment="1">
      <alignment horizontal="left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164" fontId="0" fillId="6" borderId="14" xfId="0" applyNumberForma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/>
    <xf numFmtId="1" fontId="30" fillId="0" borderId="0" xfId="0" applyNumberFormat="1" applyFont="1" applyAlignment="1" applyProtection="1">
      <alignment horizontal="center"/>
      <protection locked="0"/>
    </xf>
    <xf numFmtId="2" fontId="0" fillId="0" borderId="0" xfId="0" applyNumberFormat="1"/>
    <xf numFmtId="166" fontId="30" fillId="0" borderId="1" xfId="0" applyNumberFormat="1" applyFont="1" applyBorder="1" applyAlignment="1" applyProtection="1">
      <alignment horizontal="center"/>
      <protection locked="0"/>
    </xf>
    <xf numFmtId="167" fontId="0" fillId="0" borderId="0" xfId="0" applyNumberFormat="1"/>
    <xf numFmtId="0" fontId="1" fillId="0" borderId="0" xfId="0" applyFont="1" applyAlignment="1">
      <alignment horizontal="center"/>
    </xf>
    <xf numFmtId="20" fontId="0" fillId="6" borderId="14" xfId="0" applyNumberFormat="1" applyFill="1" applyBorder="1" applyAlignment="1">
      <alignment horizontal="center"/>
    </xf>
    <xf numFmtId="2" fontId="0" fillId="0" borderId="7" xfId="0" applyNumberFormat="1" applyBorder="1"/>
    <xf numFmtId="0" fontId="0" fillId="0" borderId="19" xfId="0" applyBorder="1"/>
    <xf numFmtId="0" fontId="35" fillId="0" borderId="1" xfId="0" applyFont="1" applyBorder="1" applyAlignment="1">
      <alignment wrapText="1" shrinkToFit="1"/>
    </xf>
    <xf numFmtId="0" fontId="12" fillId="0" borderId="2" xfId="0" applyFont="1" applyBorder="1"/>
    <xf numFmtId="0" fontId="30" fillId="0" borderId="12" xfId="0" applyFont="1" applyBorder="1"/>
    <xf numFmtId="0" fontId="44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left" shrinkToFit="1"/>
    </xf>
    <xf numFmtId="0" fontId="31" fillId="0" borderId="0" xfId="0" applyFont="1" applyAlignment="1">
      <alignment horizontal="center" shrinkToFit="1"/>
    </xf>
    <xf numFmtId="0" fontId="30" fillId="0" borderId="40" xfId="0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0" borderId="56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165" fontId="30" fillId="0" borderId="27" xfId="0" applyNumberFormat="1" applyFont="1" applyBorder="1" applyAlignment="1" applyProtection="1">
      <alignment horizontal="left"/>
      <protection locked="0"/>
    </xf>
    <xf numFmtId="165" fontId="30" fillId="0" borderId="25" xfId="0" applyNumberFormat="1" applyFont="1" applyBorder="1" applyAlignment="1" applyProtection="1">
      <alignment horizontal="left"/>
      <protection locked="0"/>
    </xf>
    <xf numFmtId="0" fontId="42" fillId="0" borderId="25" xfId="0" applyFont="1" applyBorder="1" applyAlignment="1" applyProtection="1">
      <alignment horizontal="left"/>
      <protection locked="0"/>
    </xf>
    <xf numFmtId="0" fontId="42" fillId="0" borderId="28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wrapText="1"/>
    </xf>
    <xf numFmtId="0" fontId="10" fillId="5" borderId="14" xfId="0" applyFont="1" applyFill="1" applyBorder="1" applyAlignment="1" applyProtection="1">
      <alignment horizontal="center"/>
      <protection locked="0"/>
    </xf>
    <xf numFmtId="0" fontId="34" fillId="0" borderId="15" xfId="0" applyFont="1" applyBorder="1" applyAlignment="1" applyProtection="1">
      <alignment horizontal="center"/>
      <protection locked="0"/>
    </xf>
    <xf numFmtId="0" fontId="34" fillId="0" borderId="36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10" fillId="0" borderId="5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" fontId="34" fillId="0" borderId="15" xfId="0" applyNumberFormat="1" applyFont="1" applyBorder="1" applyAlignment="1" applyProtection="1">
      <alignment horizontal="center" vertical="center"/>
      <protection locked="0"/>
    </xf>
    <xf numFmtId="1" fontId="34" fillId="0" borderId="36" xfId="0" applyNumberFormat="1" applyFont="1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/>
      <protection locked="0"/>
    </xf>
    <xf numFmtId="0" fontId="35" fillId="0" borderId="36" xfId="0" applyFont="1" applyBorder="1" applyAlignment="1" applyProtection="1">
      <alignment horizontal="center"/>
      <protection locked="0"/>
    </xf>
    <xf numFmtId="0" fontId="10" fillId="5" borderId="1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11" fillId="0" borderId="27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1" fontId="30" fillId="0" borderId="38" xfId="0" applyNumberFormat="1" applyFont="1" applyBorder="1" applyAlignment="1" applyProtection="1">
      <alignment horizontal="center" vertical="center"/>
      <protection locked="0"/>
    </xf>
    <xf numFmtId="1" fontId="30" fillId="0" borderId="39" xfId="0" applyNumberFormat="1" applyFont="1" applyBorder="1" applyAlignment="1" applyProtection="1">
      <alignment horizontal="center" vertical="center"/>
      <protection locked="0"/>
    </xf>
    <xf numFmtId="1" fontId="30" fillId="0" borderId="40" xfId="0" applyNumberFormat="1" applyFont="1" applyBorder="1" applyAlignment="1" applyProtection="1">
      <alignment horizontal="center" vertical="center"/>
      <protection locked="0"/>
    </xf>
    <xf numFmtId="0" fontId="34" fillId="0" borderId="32" xfId="0" applyFont="1" applyBorder="1" applyAlignment="1">
      <alignment horizontal="center" wrapText="1"/>
    </xf>
    <xf numFmtId="0" fontId="34" fillId="0" borderId="33" xfId="0" applyFont="1" applyBorder="1" applyAlignment="1">
      <alignment horizontal="center" wrapText="1"/>
    </xf>
    <xf numFmtId="164" fontId="30" fillId="0" borderId="15" xfId="0" applyNumberFormat="1" applyFont="1" applyBorder="1" applyAlignment="1" applyProtection="1">
      <alignment horizontal="center"/>
      <protection locked="0"/>
    </xf>
    <xf numFmtId="164" fontId="30" fillId="0" borderId="36" xfId="0" applyNumberFormat="1" applyFont="1" applyBorder="1" applyAlignment="1" applyProtection="1">
      <alignment horizontal="center"/>
      <protection locked="0"/>
    </xf>
    <xf numFmtId="164" fontId="30" fillId="0" borderId="20" xfId="0" applyNumberFormat="1" applyFont="1" applyBorder="1" applyAlignment="1" applyProtection="1">
      <alignment horizontal="center"/>
      <protection locked="0"/>
    </xf>
    <xf numFmtId="49" fontId="11" fillId="0" borderId="8" xfId="0" applyNumberFormat="1" applyFont="1" applyBorder="1" applyAlignment="1" applyProtection="1">
      <alignment horizontal="left" shrinkToFit="1"/>
      <protection locked="0"/>
    </xf>
    <xf numFmtId="49" fontId="2" fillId="0" borderId="8" xfId="0" applyNumberFormat="1" applyFont="1" applyBorder="1" applyAlignment="1" applyProtection="1">
      <alignment horizontal="left" shrinkToFit="1"/>
      <protection locked="0"/>
    </xf>
    <xf numFmtId="49" fontId="2" fillId="0" borderId="9" xfId="0" applyNumberFormat="1" applyFont="1" applyBorder="1" applyAlignment="1" applyProtection="1">
      <alignment horizontal="left" shrinkToFit="1"/>
      <protection locked="0"/>
    </xf>
    <xf numFmtId="49" fontId="2" fillId="0" borderId="11" xfId="0" applyNumberFormat="1" applyFont="1" applyBorder="1" applyAlignment="1" applyProtection="1">
      <alignment horizontal="left" shrinkToFit="1"/>
      <protection locked="0"/>
    </xf>
    <xf numFmtId="49" fontId="2" fillId="0" borderId="13" xfId="0" applyNumberFormat="1" applyFont="1" applyBorder="1" applyAlignment="1" applyProtection="1">
      <alignment horizontal="left" shrinkToFit="1"/>
      <protection locked="0"/>
    </xf>
    <xf numFmtId="165" fontId="10" fillId="0" borderId="10" xfId="0" applyNumberFormat="1" applyFont="1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left"/>
      <protection locked="0"/>
    </xf>
    <xf numFmtId="165" fontId="0" fillId="0" borderId="19" xfId="0" applyNumberForma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19" fillId="3" borderId="0" xfId="0" applyFont="1" applyFill="1" applyAlignment="1">
      <alignment horizontal="center"/>
    </xf>
    <xf numFmtId="0" fontId="10" fillId="0" borderId="10" xfId="0" applyFont="1" applyBorder="1" applyAlignment="1" applyProtection="1">
      <alignment horizontal="left" shrinkToFit="1"/>
      <protection locked="0"/>
    </xf>
    <xf numFmtId="0" fontId="10" fillId="0" borderId="11" xfId="0" applyFont="1" applyBorder="1" applyAlignment="1" applyProtection="1">
      <alignment horizontal="left" shrinkToFit="1"/>
      <protection locked="0"/>
    </xf>
    <xf numFmtId="0" fontId="10" fillId="0" borderId="19" xfId="0" applyFont="1" applyBorder="1" applyAlignment="1" applyProtection="1">
      <alignment horizontal="left" shrinkToFit="1"/>
      <protection locked="0"/>
    </xf>
    <xf numFmtId="0" fontId="10" fillId="0" borderId="12" xfId="0" applyFont="1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2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 shrinkToFit="1"/>
      <protection locked="0"/>
    </xf>
    <xf numFmtId="0" fontId="21" fillId="0" borderId="25" xfId="0" applyFont="1" applyBorder="1" applyAlignment="1" applyProtection="1">
      <alignment horizontal="left" shrinkToFit="1"/>
      <protection locked="0"/>
    </xf>
    <xf numFmtId="0" fontId="21" fillId="0" borderId="26" xfId="0" applyFont="1" applyBorder="1" applyAlignment="1" applyProtection="1">
      <alignment horizontal="left" shrinkToFit="1"/>
      <protection locked="0"/>
    </xf>
    <xf numFmtId="0" fontId="21" fillId="0" borderId="28" xfId="0" applyFont="1" applyBorder="1" applyAlignment="1" applyProtection="1">
      <alignment horizontal="left"/>
      <protection locked="0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0" xfId="0" applyFont="1" applyAlignment="1" applyProtection="1">
      <alignment horizontal="left" shrinkToFit="1"/>
      <protection locked="0"/>
    </xf>
    <xf numFmtId="0" fontId="10" fillId="0" borderId="53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shrinkToFit="1"/>
      <protection locked="0"/>
    </xf>
    <xf numFmtId="0" fontId="13" fillId="0" borderId="59" xfId="0" applyFont="1" applyBorder="1" applyAlignment="1" applyProtection="1">
      <alignment horizontal="left" shrinkToFit="1"/>
      <protection locked="0"/>
    </xf>
    <xf numFmtId="0" fontId="13" fillId="0" borderId="8" xfId="0" applyFont="1" applyBorder="1" applyAlignment="1" applyProtection="1">
      <alignment horizontal="left" shrinkToFit="1"/>
      <protection locked="0"/>
    </xf>
    <xf numFmtId="0" fontId="13" fillId="0" borderId="9" xfId="0" applyFont="1" applyBorder="1" applyAlignment="1" applyProtection="1">
      <alignment horizontal="left" shrinkToFit="1"/>
      <protection locked="0"/>
    </xf>
    <xf numFmtId="0" fontId="13" fillId="0" borderId="24" xfId="0" applyFont="1" applyBorder="1" applyAlignment="1" applyProtection="1">
      <alignment horizontal="left" shrinkToFit="1"/>
      <protection locked="0"/>
    </xf>
    <xf numFmtId="0" fontId="13" fillId="0" borderId="25" xfId="0" applyFont="1" applyBorder="1" applyAlignment="1" applyProtection="1">
      <alignment horizontal="left" shrinkToFit="1"/>
      <protection locked="0"/>
    </xf>
    <xf numFmtId="0" fontId="13" fillId="0" borderId="28" xfId="0" applyFont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center" shrinkToFit="1"/>
      <protection locked="0"/>
    </xf>
    <xf numFmtId="16" fontId="0" fillId="0" borderId="15" xfId="0" applyNumberFormat="1" applyBorder="1" applyAlignment="1">
      <alignment horizontal="left"/>
    </xf>
    <xf numFmtId="16" fontId="0" fillId="0" borderId="20" xfId="0" applyNumberFormat="1" applyBorder="1" applyAlignment="1">
      <alignment horizontal="left"/>
    </xf>
    <xf numFmtId="0" fontId="28" fillId="0" borderId="25" xfId="0" applyFont="1" applyBorder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33</xdr:row>
      <xdr:rowOff>19050</xdr:rowOff>
    </xdr:from>
    <xdr:to>
      <xdr:col>9</xdr:col>
      <xdr:colOff>393300</xdr:colOff>
      <xdr:row>45</xdr:row>
      <xdr:rowOff>199950</xdr:rowOff>
    </xdr:to>
    <xdr:sp macro="" textlink="" fLocksText="0">
      <xdr:nvSpPr>
        <xdr:cNvPr id="2" name="Text Box 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1040" y="6823710"/>
          <a:ext cx="4401420" cy="3594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3</xdr:row>
          <xdr:rowOff>241300</xdr:rowOff>
        </xdr:from>
        <xdr:to>
          <xdr:col>14</xdr:col>
          <xdr:colOff>114300</xdr:colOff>
          <xdr:row>5</xdr:row>
          <xdr:rowOff>127000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5</xdr:row>
          <xdr:rowOff>25400</xdr:rowOff>
        </xdr:from>
        <xdr:to>
          <xdr:col>13</xdr:col>
          <xdr:colOff>330200</xdr:colOff>
          <xdr:row>6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Tik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177800</xdr:rowOff>
        </xdr:from>
        <xdr:to>
          <xdr:col>1</xdr:col>
          <xdr:colOff>292100</xdr:colOff>
          <xdr:row>13</xdr:row>
          <xdr:rowOff>63500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Temp: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368300</xdr:colOff>
          <xdr:row>12</xdr:row>
          <xdr:rowOff>0</xdr:rowOff>
        </xdr:from>
        <xdr:to>
          <xdr:col>6</xdr:col>
          <xdr:colOff>266700</xdr:colOff>
          <xdr:row>13</xdr:row>
          <xdr:rowOff>63500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Hård vind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</xdr:row>
          <xdr:rowOff>177800</xdr:rowOff>
        </xdr:from>
        <xdr:to>
          <xdr:col>8</xdr:col>
          <xdr:colOff>406400</xdr:colOff>
          <xdr:row>13</xdr:row>
          <xdr:rowOff>63500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Myr/mossmark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12</xdr:row>
          <xdr:rowOff>0</xdr:rowOff>
        </xdr:from>
        <xdr:to>
          <xdr:col>10</xdr:col>
          <xdr:colOff>419100</xdr:colOff>
          <xdr:row>13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Kuperat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12</xdr:row>
          <xdr:rowOff>0</xdr:rowOff>
        </xdr:from>
        <xdr:to>
          <xdr:col>11</xdr:col>
          <xdr:colOff>266700</xdr:colOff>
          <xdr:row>13</xdr:row>
          <xdr:rowOff>63500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Kalyta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11</xdr:row>
          <xdr:rowOff>177800</xdr:rowOff>
        </xdr:from>
        <xdr:to>
          <xdr:col>15</xdr:col>
          <xdr:colOff>406400</xdr:colOff>
          <xdr:row>13</xdr:row>
          <xdr:rowOff>63500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</xdr:row>
          <xdr:rowOff>177800</xdr:rowOff>
        </xdr:from>
        <xdr:to>
          <xdr:col>18</xdr:col>
          <xdr:colOff>101600</xdr:colOff>
          <xdr:row>13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25400</xdr:rowOff>
        </xdr:from>
        <xdr:to>
          <xdr:col>1</xdr:col>
          <xdr:colOff>406400</xdr:colOff>
          <xdr:row>14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12</xdr:row>
          <xdr:rowOff>152400</xdr:rowOff>
        </xdr:from>
        <xdr:to>
          <xdr:col>6</xdr:col>
          <xdr:colOff>139700</xdr:colOff>
          <xdr:row>14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Barrskog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13</xdr:row>
          <xdr:rowOff>152400</xdr:rowOff>
        </xdr:from>
        <xdr:to>
          <xdr:col>7</xdr:col>
          <xdr:colOff>203200</xdr:colOff>
          <xdr:row>15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Öppenmark/åker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12</xdr:row>
          <xdr:rowOff>152400</xdr:rowOff>
        </xdr:from>
        <xdr:to>
          <xdr:col>7</xdr:col>
          <xdr:colOff>482600</xdr:colOff>
          <xdr:row>14</xdr:row>
          <xdr:rowOff>63500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Lövskog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13</xdr:row>
          <xdr:rowOff>139700</xdr:rowOff>
        </xdr:from>
        <xdr:to>
          <xdr:col>8</xdr:col>
          <xdr:colOff>38100</xdr:colOff>
          <xdr:row>15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Övrigt: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12</xdr:row>
          <xdr:rowOff>152400</xdr:rowOff>
        </xdr:from>
        <xdr:to>
          <xdr:col>18</xdr:col>
          <xdr:colOff>101600</xdr:colOff>
          <xdr:row>14</xdr:row>
          <xdr:rowOff>63500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12</xdr:row>
          <xdr:rowOff>152400</xdr:rowOff>
        </xdr:from>
        <xdr:to>
          <xdr:col>15</xdr:col>
          <xdr:colOff>406400</xdr:colOff>
          <xdr:row>14</xdr:row>
          <xdr:rowOff>63500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13</xdr:row>
          <xdr:rowOff>152400</xdr:rowOff>
        </xdr:from>
        <xdr:to>
          <xdr:col>15</xdr:col>
          <xdr:colOff>368300</xdr:colOff>
          <xdr:row>15</xdr:row>
          <xdr:rowOff>63500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ua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13</xdr:row>
          <xdr:rowOff>152400</xdr:rowOff>
        </xdr:from>
        <xdr:to>
          <xdr:col>104</xdr:col>
          <xdr:colOff>25400</xdr:colOff>
          <xdr:row>15</xdr:row>
          <xdr:rowOff>63500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anm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48</xdr:row>
          <xdr:rowOff>0</xdr:rowOff>
        </xdr:from>
        <xdr:to>
          <xdr:col>3</xdr:col>
          <xdr:colOff>419100</xdr:colOff>
          <xdr:row>49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48</xdr:row>
          <xdr:rowOff>12700</xdr:rowOff>
        </xdr:from>
        <xdr:to>
          <xdr:col>4</xdr:col>
          <xdr:colOff>495300</xdr:colOff>
          <xdr:row>49</xdr:row>
          <xdr:rowOff>50800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48</xdr:row>
          <xdr:rowOff>12700</xdr:rowOff>
        </xdr:from>
        <xdr:to>
          <xdr:col>7</xdr:col>
          <xdr:colOff>177800</xdr:colOff>
          <xdr:row>49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DP, 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50</xdr:row>
          <xdr:rowOff>0</xdr:rowOff>
        </xdr:from>
        <xdr:to>
          <xdr:col>12</xdr:col>
          <xdr:colOff>38100</xdr:colOff>
          <xdr:row>51</xdr:row>
          <xdr:rowOff>63500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0</xdr:rowOff>
        </xdr:from>
        <xdr:to>
          <xdr:col>10</xdr:col>
          <xdr:colOff>317500</xdr:colOff>
          <xdr:row>51</xdr:row>
          <xdr:rowOff>63500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50</xdr:row>
          <xdr:rowOff>0</xdr:rowOff>
        </xdr:from>
        <xdr:to>
          <xdr:col>13</xdr:col>
          <xdr:colOff>317500</xdr:colOff>
          <xdr:row>51</xdr:row>
          <xdr:rowOff>63500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10</xdr:col>
          <xdr:colOff>406400</xdr:colOff>
          <xdr:row>52</xdr:row>
          <xdr:rowOff>63500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Kep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51</xdr:row>
          <xdr:rowOff>0</xdr:rowOff>
        </xdr:from>
        <xdr:to>
          <xdr:col>12</xdr:col>
          <xdr:colOff>292100</xdr:colOff>
          <xdr:row>52</xdr:row>
          <xdr:rowOff>63500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51</xdr:row>
          <xdr:rowOff>0</xdr:rowOff>
        </xdr:from>
        <xdr:to>
          <xdr:col>13</xdr:col>
          <xdr:colOff>482600</xdr:colOff>
          <xdr:row>52</xdr:row>
          <xdr:rowOff>63500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VP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51</xdr:row>
          <xdr:rowOff>0</xdr:rowOff>
        </xdr:from>
        <xdr:to>
          <xdr:col>16</xdr:col>
          <xdr:colOff>254000</xdr:colOff>
          <xdr:row>52</xdr:row>
          <xdr:rowOff>63500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51</xdr:row>
          <xdr:rowOff>0</xdr:rowOff>
        </xdr:from>
        <xdr:to>
          <xdr:col>18</xdr:col>
          <xdr:colOff>50800</xdr:colOff>
          <xdr:row>52</xdr:row>
          <xdr:rowOff>63500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R-Cacit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38100</xdr:colOff>
      <xdr:row>66</xdr:row>
      <xdr:rowOff>99060</xdr:rowOff>
    </xdr:from>
    <xdr:ext cx="3977640" cy="8481060"/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01040" y="14668500"/>
          <a:ext cx="3977640" cy="84810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1 SÖK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Vägrar söka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Långsam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Alltför trångt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Alltför vidsträckt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Planlöst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Saknar kontakt med föraren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Metodiskt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8 = Snabbt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9 = Kan ej bedömas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3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DREVSÄKERHET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Upprepade längre tappter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Enstaka kortare tappter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Något hackig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Drev på bakspår/Omdrivning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 löpor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Flytande (tapptfritt)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5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TAPPTARBETE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Ihärdig (metodisk)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Lämnar snabbt tappten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Envis rotning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Utan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Rikliga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Enstaka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9 = Har ej kunnat bedömas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7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SKALLMARKERING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Tät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Gles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Repriser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Lös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Hård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Mycket god nyansering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Ingen nyansering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8 = Hetsig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9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LYDNAD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Kan inkallas under drev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Kan inkallas under sök</a:t>
          </a:r>
          <a:endParaRPr lang="sv-SE">
            <a:effectLst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Kan ej inkallas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  <xdr:oneCellAnchor>
    <xdr:from>
      <xdr:col>9</xdr:col>
      <xdr:colOff>76200</xdr:colOff>
      <xdr:row>66</xdr:row>
      <xdr:rowOff>106680</xdr:rowOff>
    </xdr:from>
    <xdr:ext cx="4023360" cy="8473440"/>
    <xdr:sp macro="" textlink="">
      <xdr:nvSpPr>
        <xdr:cNvPr id="33" name="textrut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785360" y="14676120"/>
          <a:ext cx="4023360" cy="84734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2 UPPTAGSFÖRMÅGA/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ARBETE PÅ SLAG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Vägrar arbeta på slag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Långsam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Måttliga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Envis rotning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Utan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Drevliknande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Rikliga väckskall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8 = Snabb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9 = Kan ej bedömas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4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DREVSÄTT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För snabb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Långsam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Spårnoga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Vinddrivare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Lagom snabb (flytande)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Mycket långsam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6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SKALL - HÖRBARHET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Ljus skallton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Grov skallton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Dubbelskall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Mycket klangfull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Klanglöst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6 = Mycket god hörbarhet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7 = Klangfull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8 = Flertonig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8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SAMARBETE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Återkommer snabbt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2 = Återkommer ej inom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föreskriven tid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Kontakt och svarsskall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9 = När självman återgång</a:t>
          </a: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MOMENT 10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JAKTDUGLIGHET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1 = Dålig tillgänglighet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3 = Utmärkt jaktlust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4 = Dålig jaktlust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5 = Skador bröst/tassar/testiklar</a:t>
          </a:r>
        </a:p>
        <a:p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Kod 9 = Drevet gått ur hörhåll</a:t>
          </a:r>
        </a:p>
        <a:p>
          <a:endParaRPr lang="sv-SE" sz="1100"/>
        </a:p>
      </xdr:txBody>
    </xdr:sp>
    <xdr:clientData/>
  </xdr:oneCellAnchor>
  <xdr:twoCellAnchor>
    <xdr:from>
      <xdr:col>1</xdr:col>
      <xdr:colOff>22860</xdr:colOff>
      <xdr:row>58</xdr:row>
      <xdr:rowOff>68580</xdr:rowOff>
    </xdr:from>
    <xdr:to>
      <xdr:col>17</xdr:col>
      <xdr:colOff>243840</xdr:colOff>
      <xdr:row>65</xdr:row>
      <xdr:rowOff>175260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13075920"/>
          <a:ext cx="8107680" cy="1470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EGENSKAPSPOÄNGEN BETYDER </a:t>
          </a:r>
          <a:endParaRPr lang="sv-SE" sz="1600" b="1">
            <a:effectLst/>
          </a:endParaRPr>
        </a:p>
        <a:p>
          <a:r>
            <a:rPr lang="sv-S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1= Undermålig (G) = graverande fel      2= Dålig      3= Godtagbar      4= Bra      5= Mycket bra      6= Utmärkt. </a:t>
          </a:r>
          <a:endParaRPr lang="sv-SE" sz="1400">
            <a:effectLst/>
          </a:endParaRPr>
        </a:p>
        <a:p>
          <a:pPr algn="ctr"/>
          <a:endParaRPr lang="sv-SE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sv-SE" sz="16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v-SE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KODNYCKEL</a:t>
          </a:r>
          <a:endParaRPr lang="sv-SE" sz="1600" b="1">
            <a:effectLst/>
          </a:endParaRPr>
        </a:p>
        <a:p>
          <a:r>
            <a:rPr lang="sv-S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Kodning skall ske så långt som möjligt. Flera kodningar kan ske i samma moment, dock max 3 st.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5D09-91CC-4171-BBBD-F0EAACC2474F}">
  <sheetPr>
    <pageSetUpPr fitToPage="1"/>
  </sheetPr>
  <dimension ref="A1:FF564"/>
  <sheetViews>
    <sheetView tabSelected="1" workbookViewId="0">
      <selection activeCell="O46" sqref="O46"/>
    </sheetView>
  </sheetViews>
  <sheetFormatPr baseColWidth="10" defaultColWidth="9.1640625" defaultRowHeight="15" x14ac:dyDescent="0.2"/>
  <cols>
    <col min="1" max="1" width="9.6640625" customWidth="1"/>
    <col min="2" max="3" width="7.33203125" customWidth="1"/>
    <col min="4" max="4" width="7.6640625" customWidth="1"/>
    <col min="5" max="13" width="7.33203125" customWidth="1"/>
    <col min="14" max="14" width="7.6640625" customWidth="1"/>
    <col min="15" max="15" width="8" customWidth="1"/>
    <col min="16" max="16" width="7.33203125" customWidth="1"/>
    <col min="17" max="18" width="3.6640625" customWidth="1"/>
    <col min="19" max="19" width="1.6640625" customWidth="1"/>
    <col min="20" max="29" width="7.33203125" hidden="1" customWidth="1"/>
    <col min="30" max="30" width="8" hidden="1" customWidth="1"/>
    <col min="31" max="37" width="7.33203125" hidden="1" customWidth="1"/>
    <col min="38" max="38" width="10.5" hidden="1" customWidth="1"/>
    <col min="39" max="39" width="8.6640625" hidden="1" customWidth="1"/>
    <col min="40" max="40" width="8.83203125" hidden="1" customWidth="1"/>
    <col min="41" max="42" width="7.33203125" hidden="1" customWidth="1"/>
    <col min="43" max="43" width="8.33203125" hidden="1" customWidth="1"/>
    <col min="44" max="44" width="8.1640625" hidden="1" customWidth="1"/>
    <col min="45" max="45" width="7.33203125" hidden="1" customWidth="1"/>
    <col min="46" max="46" width="9.5" hidden="1" customWidth="1"/>
    <col min="47" max="47" width="9.33203125" hidden="1" customWidth="1"/>
    <col min="48" max="48" width="10.33203125" hidden="1" customWidth="1"/>
    <col min="49" max="49" width="7.33203125" hidden="1" customWidth="1"/>
    <col min="50" max="50" width="8.33203125" hidden="1" customWidth="1"/>
    <col min="51" max="51" width="9.6640625" hidden="1" customWidth="1"/>
    <col min="52" max="52" width="6.5" hidden="1" customWidth="1"/>
    <col min="53" max="53" width="2.5" hidden="1" customWidth="1"/>
    <col min="54" max="54" width="12" hidden="1" customWidth="1"/>
    <col min="55" max="55" width="11.5" hidden="1" customWidth="1"/>
    <col min="56" max="56" width="10.33203125" hidden="1" customWidth="1"/>
    <col min="57" max="57" width="9.1640625" hidden="1" customWidth="1"/>
    <col min="58" max="58" width="9.6640625" hidden="1" customWidth="1"/>
    <col min="59" max="60" width="9.83203125" hidden="1" customWidth="1"/>
    <col min="61" max="61" width="9.6640625" hidden="1" customWidth="1"/>
    <col min="62" max="64" width="9.1640625" hidden="1" customWidth="1"/>
    <col min="65" max="65" width="11.5" hidden="1" customWidth="1"/>
    <col min="66" max="66" width="16.5" hidden="1" customWidth="1"/>
    <col min="67" max="67" width="11.1640625" hidden="1" customWidth="1"/>
    <col min="68" max="68" width="12.6640625" hidden="1" customWidth="1"/>
    <col min="69" max="70" width="9.1640625" hidden="1" customWidth="1"/>
    <col min="71" max="71" width="6.1640625" hidden="1" customWidth="1"/>
    <col min="72" max="72" width="9.1640625" hidden="1" customWidth="1"/>
    <col min="73" max="73" width="13.83203125" hidden="1" customWidth="1"/>
    <col min="74" max="76" width="9.1640625" hidden="1" customWidth="1"/>
    <col min="77" max="77" width="10.5" hidden="1" customWidth="1"/>
    <col min="78" max="78" width="9.6640625" hidden="1" customWidth="1"/>
    <col min="79" max="80" width="9.1640625" hidden="1" customWidth="1"/>
    <col min="81" max="81" width="10.5" hidden="1" customWidth="1"/>
    <col min="82" max="85" width="9.1640625" hidden="1" customWidth="1"/>
    <col min="86" max="86" width="10.83203125" hidden="1" customWidth="1"/>
    <col min="87" max="87" width="10" hidden="1" customWidth="1"/>
    <col min="88" max="102" width="9.1640625" hidden="1" customWidth="1"/>
    <col min="103" max="103" width="10.1640625" hidden="1" customWidth="1"/>
    <col min="104" max="104" width="9.1640625" hidden="1" customWidth="1"/>
    <col min="105" max="105" width="10.5" customWidth="1"/>
    <col min="119" max="119" width="11.5" customWidth="1"/>
    <col min="150" max="150" width="14.5" customWidth="1"/>
    <col min="151" max="151" width="12.1640625" customWidth="1"/>
    <col min="152" max="152" width="10.5" customWidth="1"/>
    <col min="153" max="153" width="12.83203125" customWidth="1"/>
    <col min="154" max="154" width="10.83203125" customWidth="1"/>
    <col min="155" max="155" width="11.1640625" customWidth="1"/>
    <col min="156" max="156" width="11" customWidth="1"/>
    <col min="157" max="157" width="13.5" customWidth="1"/>
    <col min="158" max="158" width="10.83203125" customWidth="1"/>
  </cols>
  <sheetData>
    <row r="1" spans="1:115" ht="27.75" customHeight="1" x14ac:dyDescent="0.3">
      <c r="A1" s="1"/>
      <c r="B1" s="1"/>
      <c r="C1" s="2" t="s">
        <v>0</v>
      </c>
      <c r="D1" s="3"/>
      <c r="E1" s="4"/>
      <c r="U1" s="5" t="s">
        <v>1</v>
      </c>
      <c r="DA1" s="6"/>
    </row>
    <row r="2" spans="1:115" x14ac:dyDescent="0.2">
      <c r="C2" s="6" t="s">
        <v>2</v>
      </c>
      <c r="E2" s="7">
        <v>0.33680555555555558</v>
      </c>
    </row>
    <row r="3" spans="1:115" ht="16.25" customHeight="1" thickBot="1" x14ac:dyDescent="0.25">
      <c r="B3" s="8"/>
      <c r="C3" s="9"/>
      <c r="D3" s="9"/>
      <c r="E3" s="9"/>
      <c r="F3" s="9"/>
      <c r="H3" s="10"/>
      <c r="AJ3" s="354" t="s">
        <v>3</v>
      </c>
      <c r="AK3" s="354"/>
      <c r="BN3" s="11"/>
    </row>
    <row r="4" spans="1:115" ht="19.5" customHeight="1" thickBot="1" x14ac:dyDescent="0.3">
      <c r="B4" s="12" t="s">
        <v>4</v>
      </c>
      <c r="C4" s="13"/>
      <c r="D4" s="13"/>
      <c r="E4" s="13"/>
      <c r="F4" s="13"/>
      <c r="G4" s="14"/>
      <c r="H4" s="271" t="s">
        <v>318</v>
      </c>
      <c r="I4" s="355" t="s">
        <v>5</v>
      </c>
      <c r="J4" s="356"/>
      <c r="K4" s="272" t="s">
        <v>6</v>
      </c>
      <c r="L4" s="14"/>
      <c r="M4" s="357" t="s">
        <v>5</v>
      </c>
      <c r="N4" s="358"/>
      <c r="O4" s="15" t="s">
        <v>7</v>
      </c>
      <c r="P4" s="16" t="s">
        <v>5</v>
      </c>
      <c r="Q4" s="17"/>
      <c r="R4" s="18"/>
      <c r="AD4" s="19" t="s">
        <v>8</v>
      </c>
      <c r="AG4" s="20" t="s">
        <v>9</v>
      </c>
      <c r="AH4" s="20" t="s">
        <v>10</v>
      </c>
      <c r="AJ4" s="359" t="s">
        <v>11</v>
      </c>
      <c r="AK4" s="359"/>
      <c r="AN4" s="21" t="s">
        <v>12</v>
      </c>
      <c r="AT4" s="19" t="s">
        <v>13</v>
      </c>
      <c r="BF4" s="11"/>
      <c r="BN4" s="20"/>
      <c r="BV4" s="6"/>
    </row>
    <row r="5" spans="1:115" ht="19" x14ac:dyDescent="0.25">
      <c r="B5" s="22" t="s">
        <v>14</v>
      </c>
      <c r="C5" s="9"/>
      <c r="D5" s="9"/>
      <c r="E5" s="9"/>
      <c r="F5" s="9"/>
      <c r="N5" s="23"/>
      <c r="O5" s="360" t="s">
        <v>5</v>
      </c>
      <c r="P5" s="361"/>
      <c r="Q5" s="361"/>
      <c r="R5" s="362"/>
      <c r="S5" s="24"/>
      <c r="T5" s="25"/>
      <c r="U5" s="25"/>
      <c r="V5" s="25"/>
      <c r="W5" s="25"/>
      <c r="X5" s="25"/>
      <c r="Y5" s="25"/>
      <c r="Z5" s="25"/>
      <c r="AA5" s="25"/>
      <c r="AB5" s="25"/>
      <c r="AC5" s="26"/>
      <c r="AD5" s="27" t="s">
        <v>15</v>
      </c>
      <c r="AE5" s="28" t="s">
        <v>16</v>
      </c>
      <c r="AF5" s="26" t="s">
        <v>17</v>
      </c>
      <c r="AG5" s="26" t="s">
        <v>18</v>
      </c>
      <c r="AH5" s="26" t="s">
        <v>18</v>
      </c>
      <c r="AI5" s="26"/>
      <c r="AJ5" s="26" t="s">
        <v>19</v>
      </c>
      <c r="AK5" s="25"/>
      <c r="AL5" s="26"/>
      <c r="AN5" s="29" t="s">
        <v>20</v>
      </c>
      <c r="AY5" s="25"/>
      <c r="BC5" s="11"/>
      <c r="BN5" s="30"/>
      <c r="BX5" s="6"/>
      <c r="CC5" s="31"/>
    </row>
    <row r="6" spans="1:115" ht="19" thickBot="1" x14ac:dyDescent="0.25">
      <c r="B6" s="32"/>
      <c r="C6" s="334" t="s">
        <v>5</v>
      </c>
      <c r="D6" s="334"/>
      <c r="E6" s="334"/>
      <c r="F6" s="334"/>
      <c r="G6" s="334"/>
      <c r="H6" s="334"/>
      <c r="I6" s="334"/>
      <c r="J6" s="334"/>
      <c r="K6" s="334"/>
      <c r="L6" s="33"/>
      <c r="M6" s="33"/>
      <c r="N6" s="34" t="s">
        <v>21</v>
      </c>
      <c r="O6" s="363"/>
      <c r="P6" s="364"/>
      <c r="Q6" s="364"/>
      <c r="R6" s="365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35">
        <v>1</v>
      </c>
      <c r="AE6" s="36" t="str">
        <f>IF(D32="Rå",1,IF(D32="Hjort",1,IF(D32="Räv",1,IF(D32="Hare",2,IF(D32="Kanin",2," ")))))</f>
        <v xml:space="preserve"> </v>
      </c>
      <c r="AF6" s="36" t="e">
        <f>IF(#REF!=" "," ",AE6)</f>
        <v>#REF!</v>
      </c>
      <c r="AG6" s="37" t="e">
        <f>IF(AF6=" "," ",IF(AE6=2," ",AI7))</f>
        <v>#REF!</v>
      </c>
      <c r="AH6" s="37" t="e">
        <f>IF(AF6=0," ",IF(AE6=1," ",AJ7))</f>
        <v>#REF!</v>
      </c>
      <c r="AI6" s="25"/>
      <c r="AL6" s="25"/>
      <c r="AM6" s="38">
        <v>0</v>
      </c>
      <c r="AN6" s="39">
        <v>0</v>
      </c>
      <c r="AP6" s="40">
        <f>C48</f>
        <v>0</v>
      </c>
      <c r="AT6" s="41" t="e">
        <f>#REF!</f>
        <v>#REF!</v>
      </c>
      <c r="AU6" s="42"/>
      <c r="AV6" s="41" t="e">
        <f>#REF!</f>
        <v>#REF!</v>
      </c>
      <c r="AW6" s="42"/>
      <c r="AY6" s="25"/>
      <c r="BC6" s="336" t="s">
        <v>22</v>
      </c>
      <c r="BD6" s="336"/>
      <c r="BE6" s="336"/>
      <c r="BF6" s="336"/>
      <c r="BG6" s="336"/>
      <c r="BH6" s="336"/>
      <c r="BI6" s="336"/>
      <c r="BJ6" s="336"/>
      <c r="BK6" s="336"/>
      <c r="BL6" s="336"/>
      <c r="BN6" s="11"/>
      <c r="BS6" s="43"/>
      <c r="BV6" s="44"/>
      <c r="CH6" t="s">
        <v>23</v>
      </c>
      <c r="CI6" s="45" t="s">
        <v>24</v>
      </c>
      <c r="CL6" s="46" t="s">
        <v>25</v>
      </c>
      <c r="CX6" s="46"/>
      <c r="DH6" s="44"/>
      <c r="DK6" s="46"/>
    </row>
    <row r="7" spans="1:115" ht="16" x14ac:dyDescent="0.2">
      <c r="B7" s="47" t="s">
        <v>26</v>
      </c>
      <c r="C7" s="48"/>
      <c r="D7" s="48"/>
      <c r="E7" s="48"/>
      <c r="F7" s="48"/>
      <c r="G7" s="10"/>
      <c r="H7" s="10"/>
      <c r="I7" s="10"/>
      <c r="J7" s="253" t="s">
        <v>27</v>
      </c>
      <c r="K7" s="10"/>
      <c r="L7" s="10"/>
      <c r="M7" s="10"/>
      <c r="N7" s="10"/>
      <c r="O7" s="10"/>
      <c r="P7" s="10"/>
      <c r="Q7" s="10"/>
      <c r="R7" s="5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6" t="s">
        <v>28</v>
      </c>
      <c r="AE7" s="51">
        <f>D20-D19</f>
        <v>0</v>
      </c>
      <c r="AF7" s="52">
        <f>AE7+MINUTE(AE7)</f>
        <v>0</v>
      </c>
      <c r="AG7" s="53">
        <f>HOUR(AE7)</f>
        <v>0</v>
      </c>
      <c r="AH7" s="54">
        <f>IF(AE7=" "," ",AG7*60+AF7)</f>
        <v>0</v>
      </c>
      <c r="AI7" s="55">
        <f>IF(AH7&lt;121,0,3)</f>
        <v>0</v>
      </c>
      <c r="AJ7" s="56">
        <f>IF(AH7&lt;91,0,3)</f>
        <v>0</v>
      </c>
      <c r="AK7" s="57"/>
      <c r="AL7" s="57"/>
      <c r="AY7" s="10"/>
      <c r="BB7" s="45"/>
      <c r="BM7" s="58"/>
      <c r="BP7" s="5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H7" s="60">
        <v>3</v>
      </c>
      <c r="CI7" t="s">
        <v>29</v>
      </c>
      <c r="CJ7" s="61"/>
      <c r="CK7" s="61"/>
      <c r="CL7" s="61"/>
    </row>
    <row r="8" spans="1:115" ht="16" x14ac:dyDescent="0.2">
      <c r="B8" s="337" t="s">
        <v>5</v>
      </c>
      <c r="C8" s="338"/>
      <c r="D8" s="338"/>
      <c r="E8" s="338"/>
      <c r="F8" s="338"/>
      <c r="G8" s="338"/>
      <c r="H8" s="338"/>
      <c r="I8" s="339"/>
      <c r="J8" s="340" t="s">
        <v>5</v>
      </c>
      <c r="K8" s="341"/>
      <c r="L8" s="341"/>
      <c r="M8" s="341"/>
      <c r="N8" s="341"/>
      <c r="O8" s="341"/>
      <c r="P8" s="341"/>
      <c r="Q8" s="341"/>
      <c r="R8" s="342"/>
      <c r="S8" s="62"/>
      <c r="T8" s="63"/>
      <c r="U8" s="63"/>
      <c r="V8" s="63"/>
      <c r="W8" s="63"/>
      <c r="X8" s="63"/>
      <c r="Y8" s="63"/>
      <c r="Z8" s="63"/>
      <c r="AA8" s="63"/>
      <c r="AB8" s="63"/>
      <c r="AC8" s="63"/>
      <c r="AD8" s="26" t="s">
        <v>30</v>
      </c>
      <c r="AE8" s="64">
        <f>H20-H19</f>
        <v>0</v>
      </c>
      <c r="AF8" s="52">
        <f>AE8+MINUTE(AE8)</f>
        <v>0</v>
      </c>
      <c r="AG8" s="53">
        <f>HOUR(AE8)</f>
        <v>0</v>
      </c>
      <c r="AH8" s="54">
        <f t="shared" ref="AH8:AH10" si="0">IF(AE8=" "," ",AG8*60+AF8)</f>
        <v>0</v>
      </c>
      <c r="AI8" s="55">
        <f t="shared" ref="AI8:AI10" si="1">IF(AH8&lt;121,0,3)</f>
        <v>0</v>
      </c>
      <c r="AJ8" s="56">
        <f t="shared" ref="AJ8:AJ10" si="2">IF(AH8&lt;91,0,3)</f>
        <v>0</v>
      </c>
      <c r="AK8" s="57"/>
      <c r="AL8" s="65"/>
      <c r="AN8" s="29" t="s">
        <v>31</v>
      </c>
      <c r="AU8" s="41" t="e">
        <f>#REF!</f>
        <v>#REF!</v>
      </c>
      <c r="AV8" s="66"/>
      <c r="AW8" s="42"/>
      <c r="AY8" s="63"/>
      <c r="BB8" s="45"/>
      <c r="BP8" s="58"/>
      <c r="CF8" s="29"/>
      <c r="CH8" s="60">
        <v>4</v>
      </c>
      <c r="CI8" s="2" t="s">
        <v>32</v>
      </c>
      <c r="CX8" s="44"/>
      <c r="CY8" s="44"/>
      <c r="CZ8" s="44"/>
    </row>
    <row r="9" spans="1:115" ht="16" x14ac:dyDescent="0.2">
      <c r="B9" s="67" t="s">
        <v>33</v>
      </c>
      <c r="C9" s="68"/>
      <c r="D9" s="68"/>
      <c r="E9" s="69" t="s">
        <v>34</v>
      </c>
      <c r="F9" s="68"/>
      <c r="G9" s="70"/>
      <c r="H9" s="70"/>
      <c r="I9" s="70"/>
      <c r="J9" s="70"/>
      <c r="K9" s="49" t="s">
        <v>35</v>
      </c>
      <c r="L9" s="70"/>
      <c r="M9" s="70"/>
      <c r="N9" s="70"/>
      <c r="O9" s="70"/>
      <c r="P9" s="70"/>
      <c r="Q9" s="70"/>
      <c r="R9" s="71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6" t="s">
        <v>36</v>
      </c>
      <c r="AE9" s="72">
        <f>L20-L19</f>
        <v>0</v>
      </c>
      <c r="AF9" s="73">
        <f>AE9+MINUTE(AE9)</f>
        <v>0</v>
      </c>
      <c r="AG9" s="53">
        <f t="shared" ref="AG9:AG10" si="3">HOUR(AE9)</f>
        <v>0</v>
      </c>
      <c r="AH9" s="54">
        <f t="shared" si="0"/>
        <v>0</v>
      </c>
      <c r="AI9" s="55">
        <f t="shared" si="1"/>
        <v>0</v>
      </c>
      <c r="AJ9" s="56">
        <f t="shared" si="2"/>
        <v>0</v>
      </c>
      <c r="AK9" s="57"/>
      <c r="AL9" s="57"/>
      <c r="AN9" s="27" t="s">
        <v>37</v>
      </c>
      <c r="AO9" s="20" t="s">
        <v>38</v>
      </c>
      <c r="AU9" s="41" t="e">
        <f>#REF!</f>
        <v>#REF!</v>
      </c>
      <c r="AV9" s="66"/>
      <c r="AW9" s="42"/>
      <c r="AY9" s="10"/>
      <c r="BB9" s="45"/>
      <c r="BO9" s="9"/>
      <c r="BU9" s="74"/>
      <c r="CF9" s="29"/>
      <c r="CG9" s="46"/>
      <c r="CH9" s="60">
        <v>5</v>
      </c>
      <c r="CI9" s="75"/>
      <c r="CJ9" s="61"/>
      <c r="CK9" s="61"/>
      <c r="CL9" s="61"/>
      <c r="CM9" s="61"/>
      <c r="CN9" s="61"/>
      <c r="CO9" s="61"/>
      <c r="CY9" s="76"/>
      <c r="DA9" s="76"/>
    </row>
    <row r="10" spans="1:115" ht="15" customHeight="1" thickBot="1" x14ac:dyDescent="0.25">
      <c r="B10" s="343" t="s">
        <v>5</v>
      </c>
      <c r="C10" s="344"/>
      <c r="D10" s="345"/>
      <c r="E10" s="346" t="s">
        <v>5</v>
      </c>
      <c r="F10" s="347"/>
      <c r="G10" s="347"/>
      <c r="H10" s="347"/>
      <c r="I10" s="347"/>
      <c r="J10" s="348"/>
      <c r="K10" s="346"/>
      <c r="L10" s="344"/>
      <c r="M10" s="344"/>
      <c r="N10" s="344"/>
      <c r="O10" s="344"/>
      <c r="P10" s="344"/>
      <c r="Q10" s="344"/>
      <c r="R10" s="349"/>
      <c r="S10" s="38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26" t="s">
        <v>39</v>
      </c>
      <c r="AE10" s="78">
        <f>P20-P19</f>
        <v>0</v>
      </c>
      <c r="AF10" s="52">
        <f>AE10+MINUTE(AE10)</f>
        <v>0</v>
      </c>
      <c r="AG10" s="53">
        <f t="shared" si="3"/>
        <v>0</v>
      </c>
      <c r="AH10" s="54">
        <f t="shared" si="0"/>
        <v>0</v>
      </c>
      <c r="AI10" s="55">
        <f t="shared" si="1"/>
        <v>0</v>
      </c>
      <c r="AJ10" s="56">
        <f t="shared" si="2"/>
        <v>0</v>
      </c>
      <c r="AK10" s="57"/>
      <c r="AL10" s="79"/>
      <c r="AM10">
        <v>0</v>
      </c>
      <c r="AN10" s="39"/>
      <c r="AO10" s="39"/>
      <c r="AU10" s="41" t="e">
        <f>#REF!</f>
        <v>#REF!</v>
      </c>
      <c r="AV10" s="66"/>
      <c r="AW10" s="42"/>
      <c r="AY10" s="77"/>
      <c r="BB10" s="45"/>
      <c r="CF10" s="29"/>
      <c r="CH10" s="60">
        <v>6</v>
      </c>
      <c r="CI10" s="2" t="s">
        <v>40</v>
      </c>
      <c r="CY10" s="76"/>
    </row>
    <row r="11" spans="1:115" ht="15" customHeight="1" x14ac:dyDescent="0.2">
      <c r="A11" t="s">
        <v>5</v>
      </c>
      <c r="B11" s="47" t="s">
        <v>41</v>
      </c>
      <c r="C11" s="9"/>
      <c r="D11" s="9"/>
      <c r="E11" s="9"/>
      <c r="F11" s="80" t="s">
        <v>42</v>
      </c>
      <c r="J11" s="81" t="s">
        <v>5</v>
      </c>
      <c r="N11" s="82" t="s">
        <v>5</v>
      </c>
      <c r="O11" s="325"/>
      <c r="P11" s="326"/>
      <c r="Q11" s="326"/>
      <c r="R11" s="327"/>
      <c r="S11" s="83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38">
        <v>1</v>
      </c>
      <c r="AN11" s="39">
        <v>60</v>
      </c>
      <c r="AO11" s="39">
        <v>45</v>
      </c>
      <c r="AS11" s="84"/>
      <c r="AU11" s="41" t="e">
        <f>#REF!</f>
        <v>#REF!</v>
      </c>
      <c r="AV11" s="66"/>
      <c r="AW11" s="42"/>
      <c r="AX11" s="84"/>
      <c r="AY11" s="84"/>
      <c r="BB11" s="45"/>
      <c r="BD11" s="74"/>
      <c r="BE11" s="74"/>
      <c r="BF11" s="74"/>
      <c r="BG11" s="74"/>
      <c r="BH11" s="74"/>
      <c r="BI11" s="74"/>
      <c r="BJ11" s="74"/>
      <c r="BK11" s="74"/>
      <c r="BL11" s="74"/>
      <c r="BM11" s="85"/>
      <c r="BN11" s="74"/>
      <c r="BO11" s="74"/>
      <c r="BV11" s="44"/>
      <c r="BW11" s="44"/>
      <c r="BX11" s="44"/>
      <c r="BY11" s="44"/>
      <c r="BZ11" s="44"/>
      <c r="CA11" s="44"/>
      <c r="CB11" s="44"/>
      <c r="CC11" s="20"/>
      <c r="CY11" s="76"/>
    </row>
    <row r="12" spans="1:115" ht="15" customHeight="1" x14ac:dyDescent="0.25">
      <c r="B12" s="330" t="s">
        <v>5</v>
      </c>
      <c r="C12" s="331"/>
      <c r="D12" s="331"/>
      <c r="E12" s="332"/>
      <c r="F12" s="333" t="s">
        <v>5</v>
      </c>
      <c r="G12" s="334"/>
      <c r="H12" s="334"/>
      <c r="I12" s="334"/>
      <c r="J12" s="334"/>
      <c r="K12" s="334"/>
      <c r="L12" s="334"/>
      <c r="M12" s="335"/>
      <c r="N12" s="273" t="s">
        <v>43</v>
      </c>
      <c r="O12" s="328"/>
      <c r="P12" s="328"/>
      <c r="Q12" s="328"/>
      <c r="R12" s="329"/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366" t="s">
        <v>44</v>
      </c>
      <c r="AE12" s="366"/>
      <c r="AF12" s="366"/>
      <c r="AM12">
        <v>2</v>
      </c>
      <c r="AN12" s="39">
        <v>45</v>
      </c>
      <c r="AO12" s="39">
        <v>30</v>
      </c>
      <c r="AS12" s="84"/>
      <c r="AX12" s="84"/>
      <c r="AY12" s="84"/>
      <c r="BB12" s="45"/>
      <c r="BV12" s="44"/>
      <c r="BW12" s="44"/>
      <c r="BX12" s="44"/>
      <c r="BY12" s="44"/>
      <c r="BZ12" s="44"/>
      <c r="CA12" s="44"/>
      <c r="CB12" s="44"/>
      <c r="CC12" s="86"/>
      <c r="CD12" s="31"/>
      <c r="CE12" s="20"/>
      <c r="CF12" s="6"/>
      <c r="CH12" t="s">
        <v>45</v>
      </c>
      <c r="CI12" s="45" t="s">
        <v>46</v>
      </c>
      <c r="CY12" s="76"/>
    </row>
    <row r="13" spans="1:115" ht="15" customHeight="1" x14ac:dyDescent="0.25">
      <c r="B13" s="87"/>
      <c r="C13" s="88" t="s">
        <v>5</v>
      </c>
      <c r="D13" s="9" t="s">
        <v>47</v>
      </c>
      <c r="E13" s="9"/>
      <c r="F13" s="9"/>
      <c r="L13" s="10" t="s">
        <v>316</v>
      </c>
      <c r="M13" t="s">
        <v>317</v>
      </c>
      <c r="R13" s="89"/>
      <c r="AE13" s="20" t="s">
        <v>31</v>
      </c>
      <c r="AF13" s="20" t="s">
        <v>48</v>
      </c>
      <c r="AG13" s="29" t="s">
        <v>49</v>
      </c>
      <c r="AM13">
        <v>3</v>
      </c>
      <c r="AN13" s="39">
        <v>30</v>
      </c>
      <c r="AO13" s="39">
        <v>20</v>
      </c>
      <c r="BB13" s="45"/>
      <c r="BV13" s="44"/>
      <c r="BW13" s="20"/>
      <c r="BX13" s="44"/>
      <c r="BY13" s="44"/>
      <c r="BZ13" s="44"/>
      <c r="CA13" s="44"/>
      <c r="CB13" s="44"/>
      <c r="CC13" s="86"/>
      <c r="CF13" s="6"/>
      <c r="CH13" s="90" t="s">
        <v>17</v>
      </c>
      <c r="CY13" s="76"/>
    </row>
    <row r="14" spans="1:115" ht="16.5" customHeight="1" x14ac:dyDescent="0.2">
      <c r="B14" s="91"/>
      <c r="C14" s="88"/>
      <c r="D14" s="48" t="s">
        <v>50</v>
      </c>
      <c r="E14" s="9"/>
      <c r="F14" s="9"/>
      <c r="K14" s="92"/>
      <c r="M14" s="81" t="s">
        <v>51</v>
      </c>
      <c r="R14" s="89"/>
      <c r="AD14" s="26" t="s">
        <v>28</v>
      </c>
      <c r="AE14" s="93">
        <f>D31</f>
        <v>0</v>
      </c>
      <c r="AF14" s="93">
        <f>IF(AE14&gt;19,0,4)</f>
        <v>4</v>
      </c>
      <c r="AG14" s="39">
        <f>IF(AE14&gt;=20,5,IF(AE14=0,0,IF(AF14=0,0,IF(AF14=4,1))))</f>
        <v>0</v>
      </c>
      <c r="AN14" s="39"/>
      <c r="AO14" s="39"/>
      <c r="AU14" s="367" t="e">
        <f>#REF!</f>
        <v>#REF!</v>
      </c>
      <c r="AV14" s="368"/>
      <c r="AW14" s="42"/>
      <c r="BB14" s="45"/>
      <c r="CH14" s="44">
        <v>1</v>
      </c>
      <c r="CI14" t="s">
        <v>52</v>
      </c>
      <c r="CY14" s="76"/>
    </row>
    <row r="15" spans="1:115" ht="15" customHeight="1" thickBot="1" x14ac:dyDescent="0.25">
      <c r="B15" s="91"/>
      <c r="I15" s="369"/>
      <c r="J15" s="369"/>
      <c r="K15" s="369"/>
      <c r="L15" s="369"/>
      <c r="M15" s="81" t="s">
        <v>53</v>
      </c>
      <c r="R15" s="89"/>
      <c r="AD15" s="26" t="s">
        <v>30</v>
      </c>
      <c r="AE15" s="93">
        <f>H31</f>
        <v>0</v>
      </c>
      <c r="AF15" s="93">
        <f t="shared" ref="AF15:AF17" si="4">IF(AE15&gt;19,0,4)</f>
        <v>4</v>
      </c>
      <c r="AG15" s="39">
        <f t="shared" ref="AG15:AG17" si="5">IF(AE15&gt;=20,5,IF(AE15=0,0,IF(AF15=0,0,IF(AF15=4,1))))</f>
        <v>0</v>
      </c>
      <c r="AU15" s="41" t="e">
        <f>#REF!</f>
        <v>#REF!</v>
      </c>
      <c r="AV15" s="66"/>
      <c r="AW15" s="42"/>
      <c r="BB15" s="45"/>
      <c r="BT15" s="94" t="s">
        <v>54</v>
      </c>
      <c r="CH15" s="44">
        <v>2</v>
      </c>
      <c r="CI15" t="s">
        <v>55</v>
      </c>
    </row>
    <row r="16" spans="1:115" ht="15" customHeight="1" x14ac:dyDescent="0.2">
      <c r="B16" s="95" t="s">
        <v>56</v>
      </c>
      <c r="C16" s="96"/>
      <c r="D16" s="350">
        <v>1</v>
      </c>
      <c r="E16" s="351"/>
      <c r="F16" s="95" t="s">
        <v>56</v>
      </c>
      <c r="G16" s="96"/>
      <c r="H16" s="350">
        <v>2</v>
      </c>
      <c r="I16" s="352"/>
      <c r="J16" s="95" t="s">
        <v>56</v>
      </c>
      <c r="K16" s="96"/>
      <c r="L16" s="350">
        <v>3</v>
      </c>
      <c r="M16" s="352"/>
      <c r="N16" s="95" t="s">
        <v>56</v>
      </c>
      <c r="O16" s="96"/>
      <c r="P16" s="350">
        <v>4</v>
      </c>
      <c r="Q16" s="353"/>
      <c r="R16" s="352"/>
      <c r="S16" s="20"/>
      <c r="T16" s="97"/>
      <c r="U16" s="98"/>
      <c r="V16" s="98"/>
      <c r="W16" s="98"/>
      <c r="X16" s="98"/>
      <c r="Y16" s="98"/>
      <c r="Z16" s="98"/>
      <c r="AA16" s="98"/>
      <c r="AB16" s="98"/>
      <c r="AC16" s="98"/>
      <c r="AD16" s="26" t="s">
        <v>36</v>
      </c>
      <c r="AE16" s="99">
        <f>L31</f>
        <v>0</v>
      </c>
      <c r="AF16" s="93">
        <f t="shared" si="4"/>
        <v>4</v>
      </c>
      <c r="AG16" s="39">
        <f t="shared" si="5"/>
        <v>0</v>
      </c>
      <c r="AN16" s="19" t="s">
        <v>57</v>
      </c>
      <c r="AR16" s="19" t="s">
        <v>58</v>
      </c>
      <c r="AS16" s="98"/>
      <c r="AU16" s="100" t="e">
        <f>#REF!</f>
        <v>#REF!</v>
      </c>
      <c r="AV16" s="101"/>
      <c r="AW16" s="102"/>
      <c r="AX16" s="98"/>
      <c r="AY16" s="98"/>
      <c r="BB16" s="45"/>
      <c r="BU16" s="90" t="s">
        <v>59</v>
      </c>
      <c r="BV16" s="45" t="s">
        <v>60</v>
      </c>
      <c r="BW16" s="45" t="s">
        <v>61</v>
      </c>
      <c r="BX16" s="45" t="s">
        <v>62</v>
      </c>
      <c r="BY16" s="45" t="s">
        <v>63</v>
      </c>
      <c r="BZ16" s="45" t="s">
        <v>64</v>
      </c>
      <c r="CA16" s="45" t="s">
        <v>65</v>
      </c>
      <c r="CB16" s="45" t="s">
        <v>66</v>
      </c>
      <c r="CC16" s="45" t="s">
        <v>67</v>
      </c>
      <c r="CD16" s="45" t="s">
        <v>68</v>
      </c>
      <c r="CE16" s="45" t="s">
        <v>69</v>
      </c>
      <c r="CH16" s="44">
        <v>3</v>
      </c>
      <c r="CI16" t="s">
        <v>29</v>
      </c>
    </row>
    <row r="17" spans="2:118" ht="15" customHeight="1" thickBot="1" x14ac:dyDescent="0.25">
      <c r="B17" s="103" t="s">
        <v>70</v>
      </c>
      <c r="C17" s="66"/>
      <c r="D17" s="322"/>
      <c r="E17" s="323"/>
      <c r="F17" s="103" t="s">
        <v>70</v>
      </c>
      <c r="G17" s="66"/>
      <c r="H17" s="322"/>
      <c r="I17" s="323"/>
      <c r="J17" s="103" t="s">
        <v>70</v>
      </c>
      <c r="K17" s="66"/>
      <c r="L17" s="322"/>
      <c r="M17" s="323"/>
      <c r="N17" s="103" t="s">
        <v>70</v>
      </c>
      <c r="O17" s="66"/>
      <c r="P17" s="322"/>
      <c r="Q17" s="324"/>
      <c r="R17" s="323"/>
      <c r="S17" s="104"/>
      <c r="T17" s="97"/>
      <c r="U17" s="105"/>
      <c r="V17" s="105"/>
      <c r="W17" s="105"/>
      <c r="X17" s="105"/>
      <c r="Y17" s="105"/>
      <c r="Z17" s="105"/>
      <c r="AA17" s="105"/>
      <c r="AB17" s="105"/>
      <c r="AC17" s="105"/>
      <c r="AD17" s="26" t="s">
        <v>39</v>
      </c>
      <c r="AE17" s="106">
        <f>P31</f>
        <v>0</v>
      </c>
      <c r="AF17" s="93">
        <f t="shared" si="4"/>
        <v>4</v>
      </c>
      <c r="AG17" s="39">
        <f t="shared" si="5"/>
        <v>0</v>
      </c>
      <c r="AN17" s="20" t="s">
        <v>71</v>
      </c>
      <c r="AO17" s="107">
        <f>D17</f>
        <v>0</v>
      </c>
      <c r="AP17" s="108"/>
      <c r="AR17" s="109" t="s">
        <v>28</v>
      </c>
      <c r="AS17" s="110" t="str">
        <f>D22</f>
        <v xml:space="preserve"> </v>
      </c>
      <c r="AU17" s="41" t="e">
        <f>#REF!</f>
        <v>#REF!</v>
      </c>
      <c r="AV17" s="66"/>
      <c r="AW17" s="42"/>
      <c r="AX17" s="105"/>
      <c r="AY17" s="105"/>
      <c r="BD17" s="44"/>
      <c r="BH17" s="58"/>
      <c r="BU17" s="44">
        <v>1</v>
      </c>
      <c r="BV17" t="s">
        <v>72</v>
      </c>
      <c r="BW17" t="s">
        <v>73</v>
      </c>
      <c r="BY17" t="s">
        <v>74</v>
      </c>
      <c r="BZ17" t="s">
        <v>75</v>
      </c>
      <c r="CA17" t="s">
        <v>76</v>
      </c>
      <c r="CB17" t="s">
        <v>77</v>
      </c>
      <c r="CC17" t="s">
        <v>78</v>
      </c>
      <c r="CD17" t="s">
        <v>79</v>
      </c>
      <c r="CE17" t="s">
        <v>80</v>
      </c>
      <c r="CH17" s="44">
        <v>4</v>
      </c>
      <c r="CI17" t="s">
        <v>81</v>
      </c>
      <c r="DB17" s="44"/>
    </row>
    <row r="18" spans="2:118" ht="16" thickBot="1" x14ac:dyDescent="0.25">
      <c r="B18" s="103" t="s">
        <v>82</v>
      </c>
      <c r="C18" s="66"/>
      <c r="D18" s="322"/>
      <c r="E18" s="323"/>
      <c r="F18" s="103" t="s">
        <v>82</v>
      </c>
      <c r="G18" s="66"/>
      <c r="H18" s="322"/>
      <c r="I18" s="323"/>
      <c r="J18" s="103" t="s">
        <v>82</v>
      </c>
      <c r="K18" s="66"/>
      <c r="L18" s="322"/>
      <c r="M18" s="323"/>
      <c r="N18" s="103" t="s">
        <v>82</v>
      </c>
      <c r="O18" s="66"/>
      <c r="P18" s="322"/>
      <c r="Q18" s="324"/>
      <c r="R18" s="323"/>
      <c r="S18" s="104"/>
      <c r="T18" s="9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11">
        <f>IF((AF14+AF15+AF16+AF17)=0," ",SUM(AF14:AF17))</f>
        <v>16</v>
      </c>
      <c r="AG18" s="112">
        <f>SUM(AG14:AG17)</f>
        <v>0</v>
      </c>
      <c r="AN18" s="109" t="s">
        <v>28</v>
      </c>
      <c r="AO18" s="107">
        <f>D21</f>
        <v>0</v>
      </c>
      <c r="AP18" s="108">
        <f>IF(AO19=0,D21," ")</f>
        <v>0</v>
      </c>
      <c r="AQ18" s="113"/>
      <c r="AR18" s="109" t="s">
        <v>30</v>
      </c>
      <c r="AS18" s="110" t="str">
        <f>H22</f>
        <v xml:space="preserve"> </v>
      </c>
      <c r="AT18" s="105"/>
      <c r="AU18" s="105"/>
      <c r="AV18" s="105"/>
      <c r="AW18" s="105"/>
      <c r="AX18" s="105"/>
      <c r="AY18" s="105"/>
      <c r="BC18" s="59"/>
      <c r="BD18" s="20"/>
      <c r="BE18" s="60"/>
      <c r="BF18" s="20"/>
      <c r="BG18" s="20"/>
      <c r="BH18" s="20"/>
      <c r="BI18" s="20"/>
      <c r="BJ18" s="11"/>
      <c r="BK18" s="19"/>
      <c r="BN18" s="11"/>
      <c r="BU18" s="44">
        <v>2</v>
      </c>
      <c r="BV18" t="s">
        <v>83</v>
      </c>
      <c r="BW18" t="s">
        <v>83</v>
      </c>
      <c r="BX18" t="s">
        <v>84</v>
      </c>
      <c r="BY18" t="s">
        <v>83</v>
      </c>
      <c r="BZ18" t="s">
        <v>85</v>
      </c>
      <c r="CA18" t="s">
        <v>86</v>
      </c>
      <c r="CB18" t="s">
        <v>87</v>
      </c>
      <c r="CC18" t="s">
        <v>88</v>
      </c>
      <c r="CD18" t="s">
        <v>89</v>
      </c>
      <c r="CH18" s="44">
        <v>5</v>
      </c>
      <c r="CI18" s="61" t="s">
        <v>5</v>
      </c>
      <c r="DB18" s="44"/>
    </row>
    <row r="19" spans="2:118" x14ac:dyDescent="0.2">
      <c r="B19" s="103" t="s">
        <v>90</v>
      </c>
      <c r="C19" s="66"/>
      <c r="D19" s="322"/>
      <c r="E19" s="323"/>
      <c r="F19" s="103" t="s">
        <v>90</v>
      </c>
      <c r="G19" s="66"/>
      <c r="H19" s="322"/>
      <c r="I19" s="323"/>
      <c r="J19" s="103" t="s">
        <v>90</v>
      </c>
      <c r="K19" s="66"/>
      <c r="L19" s="322"/>
      <c r="M19" s="323"/>
      <c r="N19" s="103" t="s">
        <v>90</v>
      </c>
      <c r="O19" s="66"/>
      <c r="P19" s="322"/>
      <c r="Q19" s="324"/>
      <c r="R19" s="323"/>
      <c r="S19" s="104"/>
      <c r="T19" s="9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N19" s="109" t="s">
        <v>30</v>
      </c>
      <c r="AO19" s="114">
        <f>H21</f>
        <v>0</v>
      </c>
      <c r="AP19" s="108">
        <f>IF(AO20=0,H21," ")</f>
        <v>0</v>
      </c>
      <c r="AQ19" s="44"/>
      <c r="AR19" s="109" t="s">
        <v>36</v>
      </c>
      <c r="AS19" s="110" t="str">
        <f>L22</f>
        <v xml:space="preserve"> </v>
      </c>
      <c r="AT19" s="105"/>
      <c r="AU19" s="105"/>
      <c r="AV19" s="105"/>
      <c r="AW19" s="105"/>
      <c r="AX19" s="105"/>
      <c r="AY19" s="105"/>
      <c r="BB19" s="20"/>
      <c r="BC19" s="20"/>
      <c r="BD19" s="20"/>
      <c r="BE19" s="20"/>
      <c r="BF19" s="20"/>
      <c r="BG19" s="20"/>
      <c r="BH19" s="20"/>
      <c r="BI19" s="20"/>
      <c r="BK19" s="29"/>
      <c r="BO19" s="59"/>
      <c r="BU19" s="44">
        <v>3</v>
      </c>
      <c r="BV19" t="s">
        <v>91</v>
      </c>
      <c r="BW19" t="s">
        <v>92</v>
      </c>
      <c r="BX19" t="s">
        <v>93</v>
      </c>
      <c r="BY19" t="s">
        <v>94</v>
      </c>
      <c r="CA19" t="s">
        <v>95</v>
      </c>
      <c r="CB19" t="s">
        <v>96</v>
      </c>
      <c r="CC19" t="s">
        <v>97</v>
      </c>
      <c r="CD19" t="s">
        <v>98</v>
      </c>
      <c r="CE19" t="s">
        <v>99</v>
      </c>
      <c r="CH19" s="44">
        <v>6</v>
      </c>
      <c r="CI19" t="s">
        <v>100</v>
      </c>
      <c r="DA19" s="44"/>
      <c r="DB19" s="44"/>
      <c r="DC19" s="44"/>
      <c r="DD19" s="44"/>
      <c r="DE19" s="44"/>
      <c r="DF19" s="44"/>
      <c r="DG19" s="44"/>
    </row>
    <row r="20" spans="2:118" ht="16" thickBot="1" x14ac:dyDescent="0.25">
      <c r="B20" s="115" t="s">
        <v>101</v>
      </c>
      <c r="C20" s="33"/>
      <c r="D20" s="322"/>
      <c r="E20" s="323"/>
      <c r="F20" s="115" t="s">
        <v>102</v>
      </c>
      <c r="G20" s="33"/>
      <c r="H20" s="322"/>
      <c r="I20" s="323"/>
      <c r="J20" s="115" t="s">
        <v>102</v>
      </c>
      <c r="K20" s="33"/>
      <c r="L20" s="322"/>
      <c r="M20" s="323"/>
      <c r="N20" s="115" t="s">
        <v>102</v>
      </c>
      <c r="O20" s="33"/>
      <c r="P20" s="322"/>
      <c r="Q20" s="324"/>
      <c r="R20" s="323"/>
      <c r="S20" s="104"/>
      <c r="T20" s="97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N20" s="109" t="s">
        <v>36</v>
      </c>
      <c r="AO20" s="107">
        <f>L21</f>
        <v>0</v>
      </c>
      <c r="AP20" s="108">
        <f>IF(AO21=0,L21," ")</f>
        <v>0</v>
      </c>
      <c r="AR20" s="109" t="s">
        <v>39</v>
      </c>
      <c r="AS20" s="116" t="str">
        <f>P22</f>
        <v xml:space="preserve"> </v>
      </c>
      <c r="AT20" s="44"/>
      <c r="AU20" s="44"/>
      <c r="AV20" s="44"/>
      <c r="AW20" s="44"/>
      <c r="AX20" s="105"/>
      <c r="AY20" s="105"/>
      <c r="BB20" s="20"/>
      <c r="BC20" s="117"/>
      <c r="BD20" s="118"/>
      <c r="BE20" s="119"/>
      <c r="BF20" s="119"/>
      <c r="BG20" s="120"/>
      <c r="BH20" s="121"/>
      <c r="BI20" s="44"/>
      <c r="BJ20" s="122"/>
      <c r="BK20" s="20"/>
      <c r="BL20" s="20"/>
      <c r="BM20" s="20"/>
      <c r="BN20" s="20"/>
      <c r="BU20" s="44">
        <v>4</v>
      </c>
      <c r="BV20" t="s">
        <v>103</v>
      </c>
      <c r="BW20" t="s">
        <v>104</v>
      </c>
      <c r="BX20" t="s">
        <v>105</v>
      </c>
      <c r="BZ20" t="s">
        <v>104</v>
      </c>
      <c r="CA20" t="s">
        <v>106</v>
      </c>
      <c r="CB20" t="s">
        <v>107</v>
      </c>
      <c r="CE20" t="s">
        <v>108</v>
      </c>
      <c r="CH20" s="44"/>
      <c r="DC20" s="76"/>
      <c r="DF20" s="31"/>
    </row>
    <row r="21" spans="2:118" ht="16" thickBot="1" x14ac:dyDescent="0.25">
      <c r="B21" s="115" t="s">
        <v>109</v>
      </c>
      <c r="C21" s="33"/>
      <c r="D21" s="322"/>
      <c r="E21" s="323"/>
      <c r="F21" s="115" t="s">
        <v>109</v>
      </c>
      <c r="G21" s="33"/>
      <c r="H21" s="322"/>
      <c r="I21" s="323"/>
      <c r="J21" s="115" t="s">
        <v>109</v>
      </c>
      <c r="K21" s="33"/>
      <c r="L21" s="322"/>
      <c r="M21" s="323"/>
      <c r="N21" s="115" t="s">
        <v>109</v>
      </c>
      <c r="O21" s="33"/>
      <c r="P21" s="322"/>
      <c r="Q21" s="324"/>
      <c r="R21" s="323"/>
      <c r="S21" s="104"/>
      <c r="T21" s="97"/>
      <c r="U21" s="105"/>
      <c r="V21" s="105"/>
      <c r="W21" s="105"/>
      <c r="X21" s="105"/>
      <c r="Y21" s="105"/>
      <c r="Z21" s="105"/>
      <c r="AA21" s="105"/>
      <c r="AB21" s="105"/>
      <c r="AC21" s="105"/>
      <c r="AD21" s="123" t="s">
        <v>110</v>
      </c>
      <c r="AE21" s="105"/>
      <c r="AF21" s="105"/>
      <c r="AG21" s="105"/>
      <c r="AN21" s="109" t="s">
        <v>39</v>
      </c>
      <c r="AO21" s="107">
        <f>P21</f>
        <v>0</v>
      </c>
      <c r="AP21" s="124" t="str">
        <f>IF(AP20=" ",AO21," ")</f>
        <v xml:space="preserve"> </v>
      </c>
      <c r="AR21" s="44"/>
      <c r="AS21" s="125">
        <f>SUM(AS17:AS20)</f>
        <v>0</v>
      </c>
      <c r="AT21" s="44"/>
      <c r="AU21" s="44"/>
      <c r="AV21" s="44"/>
      <c r="AW21" s="44"/>
      <c r="AX21" s="105"/>
      <c r="AY21" s="105"/>
      <c r="BB21" s="20"/>
      <c r="BC21" s="117"/>
      <c r="BD21" s="118"/>
      <c r="BE21" s="119"/>
      <c r="BF21" s="119"/>
      <c r="BG21" s="120"/>
      <c r="BH21" s="121"/>
      <c r="BI21" s="44"/>
      <c r="BJ21" s="122"/>
      <c r="BK21" s="44"/>
      <c r="BL21" s="44"/>
      <c r="BM21" s="44"/>
      <c r="BN21" s="20"/>
      <c r="BO21" s="11"/>
      <c r="BU21" s="44">
        <v>5</v>
      </c>
      <c r="BV21" t="s">
        <v>111</v>
      </c>
      <c r="BW21" t="s">
        <v>112</v>
      </c>
      <c r="BX21" t="s">
        <v>113</v>
      </c>
      <c r="BY21" t="s">
        <v>114</v>
      </c>
      <c r="BZ21" t="s">
        <v>112</v>
      </c>
      <c r="CA21" t="s">
        <v>115</v>
      </c>
      <c r="CB21" t="s">
        <v>116</v>
      </c>
      <c r="CE21" t="s">
        <v>117</v>
      </c>
      <c r="CH21" t="s">
        <v>118</v>
      </c>
      <c r="CI21" s="126" t="s">
        <v>119</v>
      </c>
      <c r="DF21" s="31"/>
    </row>
    <row r="22" spans="2:118" ht="16" thickBot="1" x14ac:dyDescent="0.25">
      <c r="B22" s="127" t="s">
        <v>58</v>
      </c>
      <c r="C22" s="128"/>
      <c r="D22" s="317" t="str">
        <f>IF(D17=0," ",MINUTE(D21-D17)+HOUR(D21-D17)*60)</f>
        <v xml:space="preserve"> </v>
      </c>
      <c r="E22" s="318"/>
      <c r="F22" s="91" t="s">
        <v>58</v>
      </c>
      <c r="G22" s="128"/>
      <c r="H22" s="317" t="str">
        <f>IF(H17=0," ",MINUTE(H21-H17)+HOUR(H21-H17)*60)</f>
        <v xml:space="preserve"> </v>
      </c>
      <c r="I22" s="318"/>
      <c r="J22" s="127" t="s">
        <v>58</v>
      </c>
      <c r="K22" s="128"/>
      <c r="L22" s="317" t="str">
        <f>IF(L17=0," ",MINUTE(L21-L17)+HOUR(L21-L17)*60)</f>
        <v xml:space="preserve"> </v>
      </c>
      <c r="M22" s="318"/>
      <c r="N22" s="127" t="s">
        <v>58</v>
      </c>
      <c r="O22" s="128"/>
      <c r="P22" s="317" t="str">
        <f>IF(P17=0," ",MINUTE(P21-P17)+HOUR(P21-P17)*60)</f>
        <v xml:space="preserve"> </v>
      </c>
      <c r="Q22" s="319"/>
      <c r="R22" s="318"/>
      <c r="S22" s="129"/>
      <c r="T22" s="97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 t="s">
        <v>120</v>
      </c>
      <c r="AF22" s="129" t="s">
        <v>121</v>
      </c>
      <c r="AG22" s="129" t="s">
        <v>122</v>
      </c>
      <c r="AH22" s="129" t="s">
        <v>123</v>
      </c>
      <c r="AI22" s="129"/>
      <c r="AJ22" s="129"/>
      <c r="AN22" s="44" t="s">
        <v>124</v>
      </c>
      <c r="AO22" t="s">
        <v>5</v>
      </c>
      <c r="AP22" s="130">
        <f>SUM(AP18:AP21)</f>
        <v>0</v>
      </c>
      <c r="AQ22" s="44"/>
      <c r="AR22" s="44"/>
      <c r="AS22" s="44"/>
      <c r="AT22" s="44"/>
      <c r="AU22" s="44"/>
      <c r="AV22" s="44"/>
      <c r="AW22" s="44"/>
      <c r="AX22" s="129"/>
      <c r="AY22" s="129"/>
      <c r="BB22" s="20"/>
      <c r="BC22" s="117"/>
      <c r="BD22" s="118"/>
      <c r="BE22" s="119"/>
      <c r="BF22" s="119"/>
      <c r="BG22" s="120"/>
      <c r="BH22" s="121"/>
      <c r="BI22" s="44"/>
      <c r="BJ22" s="122"/>
      <c r="BK22" s="44"/>
      <c r="BL22" s="44"/>
      <c r="BM22" s="44"/>
      <c r="BN22" s="58"/>
      <c r="BO22" s="11"/>
      <c r="BU22" s="44">
        <v>6</v>
      </c>
      <c r="BV22" t="s">
        <v>125</v>
      </c>
      <c r="BW22" t="s">
        <v>126</v>
      </c>
      <c r="BX22" t="s">
        <v>127</v>
      </c>
      <c r="BY22" t="s">
        <v>128</v>
      </c>
      <c r="BZ22" t="s">
        <v>129</v>
      </c>
      <c r="CA22" t="s">
        <v>130</v>
      </c>
      <c r="CB22" t="s">
        <v>131</v>
      </c>
      <c r="CH22" s="90" t="s">
        <v>17</v>
      </c>
      <c r="DF22" s="31"/>
    </row>
    <row r="23" spans="2:118" ht="27" x14ac:dyDescent="0.2">
      <c r="B23" s="131" t="s">
        <v>132</v>
      </c>
      <c r="C23" s="132"/>
      <c r="D23" s="133" t="s">
        <v>133</v>
      </c>
      <c r="E23" s="134" t="s">
        <v>134</v>
      </c>
      <c r="F23" s="131" t="s">
        <v>132</v>
      </c>
      <c r="G23" s="132"/>
      <c r="H23" s="133" t="s">
        <v>133</v>
      </c>
      <c r="I23" s="134" t="s">
        <v>134</v>
      </c>
      <c r="J23" s="131" t="s">
        <v>132</v>
      </c>
      <c r="K23" s="132"/>
      <c r="L23" s="133" t="s">
        <v>133</v>
      </c>
      <c r="M23" s="134" t="s">
        <v>134</v>
      </c>
      <c r="N23" s="131" t="s">
        <v>132</v>
      </c>
      <c r="O23" s="132"/>
      <c r="P23" s="133" t="s">
        <v>133</v>
      </c>
      <c r="Q23" s="320" t="s">
        <v>134</v>
      </c>
      <c r="R23" s="321"/>
      <c r="S23" s="135"/>
      <c r="T23" s="97"/>
      <c r="U23" s="135"/>
      <c r="V23" s="135"/>
      <c r="W23" s="135"/>
      <c r="X23" s="135"/>
      <c r="Y23" s="135"/>
      <c r="Z23" s="135"/>
      <c r="AA23" s="135"/>
      <c r="AB23" s="135"/>
      <c r="AC23" s="135"/>
      <c r="AD23" s="136" t="s">
        <v>135</v>
      </c>
      <c r="AE23" s="137">
        <f t="shared" ref="AE23:AF32" si="6">N36</f>
        <v>0</v>
      </c>
      <c r="AF23" s="137">
        <f t="shared" si="6"/>
        <v>0</v>
      </c>
      <c r="AG23" s="137">
        <f>IF(AF23=0,0,1)</f>
        <v>0</v>
      </c>
      <c r="AH23" s="138">
        <f>IF(AG23=0,0,AF23-AE23)</f>
        <v>0</v>
      </c>
      <c r="AI23" s="135"/>
      <c r="AJ23" s="135"/>
      <c r="AO23" s="46" t="s">
        <v>136</v>
      </c>
      <c r="AP23" s="44"/>
      <c r="AQ23" s="44"/>
      <c r="AR23" s="44"/>
      <c r="AS23" s="44"/>
      <c r="AT23" s="44"/>
      <c r="AU23" s="44"/>
      <c r="AV23" s="44"/>
      <c r="AW23" s="44"/>
      <c r="AX23" s="135"/>
      <c r="AY23" s="135"/>
      <c r="BB23" s="20"/>
      <c r="BC23" s="117"/>
      <c r="BD23" s="118"/>
      <c r="BE23" s="119"/>
      <c r="BF23" s="119"/>
      <c r="BG23" s="120"/>
      <c r="BH23" s="121"/>
      <c r="BI23" s="44"/>
      <c r="BJ23" s="122"/>
      <c r="BK23" s="44"/>
      <c r="BL23" s="44"/>
      <c r="BM23" s="20"/>
      <c r="BN23" s="11"/>
      <c r="BU23" s="44">
        <v>7</v>
      </c>
      <c r="BV23" t="s">
        <v>137</v>
      </c>
      <c r="BW23" t="s">
        <v>129</v>
      </c>
      <c r="BY23" t="s">
        <v>138</v>
      </c>
      <c r="BZ23" t="s">
        <v>139</v>
      </c>
      <c r="CA23" t="s">
        <v>140</v>
      </c>
      <c r="CB23" t="s">
        <v>141</v>
      </c>
      <c r="CH23" s="44">
        <v>1</v>
      </c>
      <c r="CI23" t="s">
        <v>142</v>
      </c>
      <c r="DF23" s="31"/>
    </row>
    <row r="24" spans="2:118" x14ac:dyDescent="0.2">
      <c r="B24" s="139" t="str">
        <f>IF(D19=0," ",SUM(D19))</f>
        <v xml:space="preserve"> </v>
      </c>
      <c r="C24" s="140" t="str">
        <f>IF(B24=" "," ",D20)</f>
        <v xml:space="preserve"> </v>
      </c>
      <c r="D24" s="141" t="str">
        <f>IF(C24=" "," ",MINUTE(C24-B24)+HOUR(C24-B24)*60)</f>
        <v xml:space="preserve"> </v>
      </c>
      <c r="E24" s="141" t="s">
        <v>5</v>
      </c>
      <c r="F24" s="139" t="str">
        <f>IF(H19=0," ",SUM(H19))</f>
        <v xml:space="preserve"> </v>
      </c>
      <c r="G24" s="140" t="str">
        <f>IF(F24=" "," ",H20)</f>
        <v xml:space="preserve"> </v>
      </c>
      <c r="H24" s="141" t="str">
        <f>IF(G24=" "," ",MINUTE(G24-F24)+HOUR(G24-F24)*60)</f>
        <v xml:space="preserve"> </v>
      </c>
      <c r="I24" s="141" t="s">
        <v>5</v>
      </c>
      <c r="J24" s="139" t="str">
        <f>IF(L19=0," ",SUM(L19))</f>
        <v xml:space="preserve"> </v>
      </c>
      <c r="K24" s="140" t="str">
        <f>IF(J24=" "," ",L20)</f>
        <v xml:space="preserve"> </v>
      </c>
      <c r="L24" s="141" t="str">
        <f>IF(K24=" "," ",MINUTE(K24-J24)+HOUR(K24-J24)*60)</f>
        <v xml:space="preserve"> </v>
      </c>
      <c r="M24" s="141" t="s">
        <v>5</v>
      </c>
      <c r="N24" s="139" t="str">
        <f>IF(P19=0," ",SUM(P19))</f>
        <v xml:space="preserve"> </v>
      </c>
      <c r="O24" s="140" t="str">
        <f>IF(N24=" "," ",P20)</f>
        <v xml:space="preserve"> </v>
      </c>
      <c r="P24" s="141" t="str">
        <f>IF(O24=" "," ",MINUTE(O24-N24)+HOUR(O24-N24)*60)</f>
        <v xml:space="preserve"> </v>
      </c>
      <c r="Q24" s="306" t="s">
        <v>5</v>
      </c>
      <c r="R24" s="307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 t="s">
        <v>143</v>
      </c>
      <c r="AE24" s="138">
        <f t="shared" si="6"/>
        <v>0</v>
      </c>
      <c r="AF24" s="138">
        <f t="shared" si="6"/>
        <v>0</v>
      </c>
      <c r="AG24" s="137">
        <f>IF(AF24=0,0,1)</f>
        <v>0</v>
      </c>
      <c r="AH24" s="138">
        <f t="shared" ref="AH24:AH32" si="7">IF(AG24=0,0,AF24-AE24)</f>
        <v>0</v>
      </c>
      <c r="AI24" s="142"/>
      <c r="AJ24" s="142"/>
      <c r="AY24" s="142"/>
      <c r="BB24" s="20"/>
      <c r="BC24" s="117"/>
      <c r="BD24" s="118"/>
      <c r="BE24" s="119"/>
      <c r="BF24" s="119"/>
      <c r="BG24" s="120"/>
      <c r="BH24" s="121"/>
      <c r="BI24" s="44"/>
      <c r="BJ24" s="122"/>
      <c r="BU24" s="44">
        <v>8</v>
      </c>
      <c r="BV24" t="s">
        <v>144</v>
      </c>
      <c r="BW24" t="s">
        <v>145</v>
      </c>
      <c r="CA24" t="s">
        <v>146</v>
      </c>
      <c r="CB24" t="s">
        <v>147</v>
      </c>
      <c r="CH24" s="44">
        <v>2</v>
      </c>
      <c r="CI24" t="s">
        <v>148</v>
      </c>
      <c r="DF24" s="31"/>
    </row>
    <row r="25" spans="2:118" ht="16" thickBot="1" x14ac:dyDescent="0.25">
      <c r="B25" s="139"/>
      <c r="C25" s="140"/>
      <c r="D25" s="141" t="str">
        <f t="shared" ref="D25:D30" si="8">IF(C25=0," ",MINUTE(C25-B25)+HOUR(C25-B25)*60)</f>
        <v xml:space="preserve"> </v>
      </c>
      <c r="E25" s="141"/>
      <c r="F25" s="139"/>
      <c r="G25" s="140"/>
      <c r="H25" s="141" t="str">
        <f t="shared" ref="H25:H30" si="9">IF(G25=0," ",MINUTE(G25-F25)+HOUR(G25-F25)*60)</f>
        <v xml:space="preserve"> </v>
      </c>
      <c r="I25" s="141"/>
      <c r="J25" s="139"/>
      <c r="K25" s="140"/>
      <c r="L25" s="141" t="str">
        <f t="shared" ref="L25:L30" si="10">IF(K25=0," ",MINUTE(K25-J25)+HOUR(K25-J25)*60)</f>
        <v xml:space="preserve"> </v>
      </c>
      <c r="M25" s="141"/>
      <c r="N25" s="139"/>
      <c r="O25" s="140"/>
      <c r="P25" s="141" t="str">
        <f t="shared" ref="P25:P30" si="11">IF(O25=0," ",MINUTE(O25-N25)+HOUR(O25-N25)*60)</f>
        <v xml:space="preserve"> </v>
      </c>
      <c r="Q25" s="306" t="s">
        <v>5</v>
      </c>
      <c r="R25" s="307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 t="s">
        <v>149</v>
      </c>
      <c r="AE25" s="138">
        <f t="shared" si="6"/>
        <v>0</v>
      </c>
      <c r="AF25" s="138">
        <f t="shared" si="6"/>
        <v>0</v>
      </c>
      <c r="AG25" s="137">
        <f t="shared" ref="AG25:AG32" si="12">IF(AF25=0,0,1)</f>
        <v>0</v>
      </c>
      <c r="AH25" s="138">
        <f t="shared" si="7"/>
        <v>0</v>
      </c>
      <c r="AI25" s="142"/>
      <c r="AJ25" s="142"/>
      <c r="AN25" s="20" t="s">
        <v>120</v>
      </c>
      <c r="AO25" s="20" t="s">
        <v>150</v>
      </c>
      <c r="AP25" s="20" t="s">
        <v>151</v>
      </c>
      <c r="AQ25" s="20" t="s">
        <v>152</v>
      </c>
      <c r="AR25" s="20" t="s">
        <v>153</v>
      </c>
      <c r="AS25" s="20" t="s">
        <v>154</v>
      </c>
      <c r="AT25" s="20"/>
      <c r="AU25" s="20"/>
      <c r="AV25" s="20"/>
      <c r="AY25" s="142"/>
      <c r="BB25" s="20"/>
      <c r="BC25" s="117"/>
      <c r="BD25" s="118"/>
      <c r="BE25" s="119"/>
      <c r="BF25" s="119"/>
      <c r="BG25" s="120"/>
      <c r="BH25" s="121"/>
      <c r="BI25" s="44"/>
      <c r="BJ25" s="122"/>
      <c r="BU25" s="44">
        <v>9</v>
      </c>
      <c r="BV25" t="s">
        <v>155</v>
      </c>
      <c r="BW25" t="s">
        <v>155</v>
      </c>
      <c r="BZ25" t="s">
        <v>155</v>
      </c>
      <c r="CC25" t="s">
        <v>156</v>
      </c>
      <c r="CE25" t="s">
        <v>157</v>
      </c>
      <c r="CH25" s="44">
        <v>3</v>
      </c>
      <c r="CI25" t="s">
        <v>158</v>
      </c>
      <c r="DF25" s="31"/>
    </row>
    <row r="26" spans="2:118" x14ac:dyDescent="0.2">
      <c r="B26" s="139"/>
      <c r="C26" s="140"/>
      <c r="D26" s="141" t="str">
        <f t="shared" si="8"/>
        <v xml:space="preserve"> </v>
      </c>
      <c r="E26" s="141"/>
      <c r="F26" s="139"/>
      <c r="G26" s="140"/>
      <c r="H26" s="141" t="str">
        <f t="shared" si="9"/>
        <v xml:space="preserve"> </v>
      </c>
      <c r="I26" s="141"/>
      <c r="J26" s="139"/>
      <c r="K26" s="140"/>
      <c r="L26" s="141" t="str">
        <f t="shared" si="10"/>
        <v xml:space="preserve"> </v>
      </c>
      <c r="M26" s="141"/>
      <c r="N26" s="139"/>
      <c r="O26" s="140"/>
      <c r="P26" s="141" t="str">
        <f t="shared" si="11"/>
        <v xml:space="preserve"> </v>
      </c>
      <c r="Q26" s="306"/>
      <c r="R26" s="307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 t="s">
        <v>159</v>
      </c>
      <c r="AE26" s="138">
        <f t="shared" si="6"/>
        <v>0</v>
      </c>
      <c r="AF26" s="138">
        <f t="shared" si="6"/>
        <v>0</v>
      </c>
      <c r="AG26" s="137">
        <f t="shared" si="12"/>
        <v>0</v>
      </c>
      <c r="AH26" s="138">
        <f t="shared" si="7"/>
        <v>0</v>
      </c>
      <c r="AI26" s="142"/>
      <c r="AJ26" s="142"/>
      <c r="AM26" t="s">
        <v>160</v>
      </c>
      <c r="AN26" s="143">
        <f t="shared" ref="AN26:AO32" si="13">N36</f>
        <v>0</v>
      </c>
      <c r="AO26" s="144">
        <f t="shared" si="13"/>
        <v>0</v>
      </c>
      <c r="AP26" s="145">
        <f>IF(AO26=0,AN26,AO26)</f>
        <v>0</v>
      </c>
      <c r="AQ26" s="144">
        <f>AP26</f>
        <v>0</v>
      </c>
      <c r="AR26" s="144">
        <f>AP26</f>
        <v>0</v>
      </c>
      <c r="AS26" s="146">
        <f>AP26</f>
        <v>0</v>
      </c>
      <c r="AT26" s="44"/>
      <c r="AU26" s="44"/>
      <c r="AV26" s="44" t="s">
        <v>161</v>
      </c>
      <c r="AW26" s="44" t="s">
        <v>17</v>
      </c>
      <c r="AX26" s="44" t="s">
        <v>17</v>
      </c>
      <c r="AY26" s="20" t="s">
        <v>162</v>
      </c>
      <c r="BD26" s="58"/>
      <c r="BH26" s="58"/>
      <c r="BK26" s="90"/>
      <c r="BL26" s="11"/>
      <c r="CH26" s="44">
        <v>4</v>
      </c>
      <c r="CI26" t="s">
        <v>163</v>
      </c>
    </row>
    <row r="27" spans="2:118" x14ac:dyDescent="0.2">
      <c r="B27" s="139"/>
      <c r="C27" s="140"/>
      <c r="D27" s="141" t="str">
        <f t="shared" si="8"/>
        <v xml:space="preserve"> </v>
      </c>
      <c r="E27" s="141"/>
      <c r="F27" s="139"/>
      <c r="G27" s="140"/>
      <c r="H27" s="141" t="str">
        <f t="shared" si="9"/>
        <v xml:space="preserve"> </v>
      </c>
      <c r="I27" s="141"/>
      <c r="J27" s="139"/>
      <c r="K27" s="140"/>
      <c r="L27" s="141" t="str">
        <f t="shared" si="10"/>
        <v xml:space="preserve"> </v>
      </c>
      <c r="M27" s="141"/>
      <c r="N27" s="139"/>
      <c r="O27" s="140"/>
      <c r="P27" s="141" t="str">
        <f t="shared" si="11"/>
        <v xml:space="preserve"> </v>
      </c>
      <c r="Q27" s="306"/>
      <c r="R27" s="307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 t="s">
        <v>164</v>
      </c>
      <c r="AE27" s="138">
        <f t="shared" si="6"/>
        <v>0</v>
      </c>
      <c r="AF27" s="138">
        <f t="shared" si="6"/>
        <v>0</v>
      </c>
      <c r="AG27" s="137">
        <f t="shared" si="12"/>
        <v>0</v>
      </c>
      <c r="AH27" s="138">
        <f t="shared" si="7"/>
        <v>0</v>
      </c>
      <c r="AI27" s="142"/>
      <c r="AJ27" s="142"/>
      <c r="AM27" t="s">
        <v>143</v>
      </c>
      <c r="AN27" s="147">
        <f t="shared" si="13"/>
        <v>0</v>
      </c>
      <c r="AO27" s="93">
        <f t="shared" si="13"/>
        <v>0</v>
      </c>
      <c r="AP27" s="148">
        <f t="shared" ref="AP27:AP33" si="14">IF(AO27=0,AN27,AO27)</f>
        <v>0</v>
      </c>
      <c r="AQ27" s="93">
        <f t="shared" ref="AQ27:AQ33" si="15">AP27</f>
        <v>0</v>
      </c>
      <c r="AR27" s="93">
        <f t="shared" ref="AR27:AR30" si="16">AP27</f>
        <v>0</v>
      </c>
      <c r="AS27" s="149">
        <f>AP27</f>
        <v>0</v>
      </c>
      <c r="AT27" s="44" t="s">
        <v>165</v>
      </c>
      <c r="AU27" s="44" t="s">
        <v>166</v>
      </c>
      <c r="AV27" s="44" t="s">
        <v>166</v>
      </c>
      <c r="AW27" s="44" t="s">
        <v>20</v>
      </c>
      <c r="AX27" s="44" t="s">
        <v>166</v>
      </c>
      <c r="AY27" s="44" t="s">
        <v>167</v>
      </c>
      <c r="BB27" s="45"/>
      <c r="BC27" s="150"/>
      <c r="BD27" s="45"/>
      <c r="CH27" s="44">
        <v>5</v>
      </c>
      <c r="CI27" s="61" t="s">
        <v>5</v>
      </c>
    </row>
    <row r="28" spans="2:118" x14ac:dyDescent="0.2">
      <c r="B28" s="139"/>
      <c r="C28" s="140"/>
      <c r="D28" s="141" t="str">
        <f t="shared" si="8"/>
        <v xml:space="preserve"> </v>
      </c>
      <c r="E28" s="141"/>
      <c r="F28" s="139"/>
      <c r="G28" s="140"/>
      <c r="H28" s="141" t="str">
        <f t="shared" si="9"/>
        <v xml:space="preserve"> </v>
      </c>
      <c r="I28" s="141"/>
      <c r="J28" s="139"/>
      <c r="K28" s="140"/>
      <c r="L28" s="141" t="str">
        <f t="shared" si="10"/>
        <v xml:space="preserve"> </v>
      </c>
      <c r="M28" s="141"/>
      <c r="N28" s="139"/>
      <c r="O28" s="140"/>
      <c r="P28" s="141" t="str">
        <f t="shared" si="11"/>
        <v xml:space="preserve"> </v>
      </c>
      <c r="Q28" s="306"/>
      <c r="R28" s="307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 t="s">
        <v>168</v>
      </c>
      <c r="AE28" s="138">
        <f t="shared" si="6"/>
        <v>0</v>
      </c>
      <c r="AF28" s="138">
        <f t="shared" si="6"/>
        <v>0</v>
      </c>
      <c r="AG28" s="137">
        <f t="shared" si="12"/>
        <v>0</v>
      </c>
      <c r="AH28" s="138">
        <f t="shared" si="7"/>
        <v>0</v>
      </c>
      <c r="AI28" s="142"/>
      <c r="AJ28" s="142"/>
      <c r="AM28" t="s">
        <v>149</v>
      </c>
      <c r="AN28" s="147">
        <f t="shared" si="13"/>
        <v>0</v>
      </c>
      <c r="AO28" s="93">
        <f t="shared" si="13"/>
        <v>0</v>
      </c>
      <c r="AP28" s="148">
        <f t="shared" si="14"/>
        <v>0</v>
      </c>
      <c r="AQ28" s="93">
        <f t="shared" si="15"/>
        <v>0</v>
      </c>
      <c r="AR28" s="93">
        <f t="shared" si="16"/>
        <v>0</v>
      </c>
      <c r="AS28" s="151">
        <v>0</v>
      </c>
      <c r="AT28" s="152" t="e">
        <f>#REF!</f>
        <v>#REF!</v>
      </c>
      <c r="AU28" s="153" t="e">
        <f>AT28/9</f>
        <v>#REF!</v>
      </c>
      <c r="AV28" s="153" t="e">
        <f>TRUNC(AU28,2)</f>
        <v>#REF!</v>
      </c>
      <c r="AW28" s="154" t="e">
        <f>LOOKUP(AT28,AE63:AE117,AF63:AF117)</f>
        <v>#REF!</v>
      </c>
      <c r="AX28" s="153" t="e">
        <f>LOOKUP(AV28,AH63:AH564,AI63:AI564)</f>
        <v>#REF!</v>
      </c>
      <c r="AY28" s="153" t="e">
        <f>IF(AW28=AX28,AW28,IF(AW28&gt;AX28,AX28,AW28))</f>
        <v>#REF!</v>
      </c>
      <c r="BC28" s="122"/>
      <c r="BE28" s="90"/>
      <c r="BF28" s="90"/>
      <c r="CH28" s="44">
        <v>6</v>
      </c>
      <c r="CI28" t="s">
        <v>169</v>
      </c>
    </row>
    <row r="29" spans="2:118" x14ac:dyDescent="0.2">
      <c r="B29" s="139"/>
      <c r="C29" s="140"/>
      <c r="D29" s="141" t="str">
        <f t="shared" si="8"/>
        <v xml:space="preserve"> </v>
      </c>
      <c r="E29" s="141"/>
      <c r="F29" s="139"/>
      <c r="G29" s="140"/>
      <c r="H29" s="141" t="str">
        <f t="shared" si="9"/>
        <v xml:space="preserve"> </v>
      </c>
      <c r="I29" s="141"/>
      <c r="J29" s="139"/>
      <c r="K29" s="140"/>
      <c r="L29" s="141" t="str">
        <f t="shared" si="10"/>
        <v xml:space="preserve"> </v>
      </c>
      <c r="M29" s="141"/>
      <c r="N29" s="139"/>
      <c r="O29" s="140"/>
      <c r="P29" s="141" t="str">
        <f t="shared" si="11"/>
        <v xml:space="preserve"> </v>
      </c>
      <c r="Q29" s="306"/>
      <c r="R29" s="307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 t="s">
        <v>170</v>
      </c>
      <c r="AE29" s="138">
        <f t="shared" si="6"/>
        <v>0</v>
      </c>
      <c r="AF29" s="138">
        <f t="shared" si="6"/>
        <v>0</v>
      </c>
      <c r="AG29" s="137">
        <f t="shared" si="12"/>
        <v>0</v>
      </c>
      <c r="AH29" s="138">
        <f t="shared" si="7"/>
        <v>0</v>
      </c>
      <c r="AI29" s="142"/>
      <c r="AJ29" s="142"/>
      <c r="AM29" t="s">
        <v>159</v>
      </c>
      <c r="AN29" s="147">
        <f t="shared" si="13"/>
        <v>0</v>
      </c>
      <c r="AO29" s="93">
        <f t="shared" si="13"/>
        <v>0</v>
      </c>
      <c r="AP29" s="148">
        <f t="shared" si="14"/>
        <v>0</v>
      </c>
      <c r="AQ29" s="93">
        <f t="shared" si="15"/>
        <v>0</v>
      </c>
      <c r="AR29" s="93">
        <f t="shared" si="16"/>
        <v>0</v>
      </c>
      <c r="AS29" s="151">
        <v>0</v>
      </c>
      <c r="AT29" s="44"/>
      <c r="AU29" s="44"/>
      <c r="AV29" s="44"/>
      <c r="AW29" s="44"/>
      <c r="AY29" s="142"/>
      <c r="BB29" s="126"/>
      <c r="BE29" s="118"/>
      <c r="BF29" s="118"/>
      <c r="BG29" s="291"/>
      <c r="BH29" s="291"/>
      <c r="CH29" s="44"/>
    </row>
    <row r="30" spans="2:118" x14ac:dyDescent="0.2">
      <c r="B30" s="139"/>
      <c r="C30" s="140"/>
      <c r="D30" s="155" t="str">
        <f t="shared" si="8"/>
        <v xml:space="preserve"> </v>
      </c>
      <c r="E30" s="156"/>
      <c r="F30" s="139"/>
      <c r="G30" s="140"/>
      <c r="H30" s="155" t="str">
        <f t="shared" si="9"/>
        <v xml:space="preserve"> </v>
      </c>
      <c r="I30" s="156"/>
      <c r="J30" s="139"/>
      <c r="K30" s="140"/>
      <c r="L30" s="155" t="str">
        <f t="shared" si="10"/>
        <v xml:space="preserve"> </v>
      </c>
      <c r="M30" s="156"/>
      <c r="N30" s="139"/>
      <c r="O30" s="140"/>
      <c r="P30" s="155" t="str">
        <f t="shared" si="11"/>
        <v xml:space="preserve"> </v>
      </c>
      <c r="Q30" s="306"/>
      <c r="R30" s="307"/>
      <c r="S30" s="157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42" t="s">
        <v>171</v>
      </c>
      <c r="AE30" s="138">
        <f t="shared" si="6"/>
        <v>0</v>
      </c>
      <c r="AF30" s="138">
        <f t="shared" si="6"/>
        <v>0</v>
      </c>
      <c r="AG30" s="137">
        <f t="shared" si="12"/>
        <v>0</v>
      </c>
      <c r="AH30" s="138">
        <f t="shared" si="7"/>
        <v>0</v>
      </c>
      <c r="AI30" s="158"/>
      <c r="AJ30" s="158"/>
      <c r="AM30" t="s">
        <v>164</v>
      </c>
      <c r="AN30" s="147">
        <f t="shared" si="13"/>
        <v>0</v>
      </c>
      <c r="AO30" s="93">
        <f t="shared" si="13"/>
        <v>0</v>
      </c>
      <c r="AP30" s="148">
        <f t="shared" si="14"/>
        <v>0</v>
      </c>
      <c r="AQ30" s="93">
        <f t="shared" si="15"/>
        <v>0</v>
      </c>
      <c r="AR30" s="93">
        <f t="shared" si="16"/>
        <v>0</v>
      </c>
      <c r="AS30" s="151">
        <v>0</v>
      </c>
      <c r="AT30" s="44"/>
      <c r="AU30" s="44"/>
      <c r="AV30" s="44"/>
      <c r="AW30" s="44"/>
      <c r="AY30" s="158"/>
      <c r="BG30" s="90"/>
      <c r="BH30" s="58"/>
      <c r="CH30" t="s">
        <v>172</v>
      </c>
      <c r="CI30" s="126" t="s">
        <v>173</v>
      </c>
      <c r="DN30" s="19"/>
    </row>
    <row r="31" spans="2:118" x14ac:dyDescent="0.2">
      <c r="B31" s="159" t="s">
        <v>174</v>
      </c>
      <c r="C31" s="160"/>
      <c r="D31" s="161">
        <f>IF(C24=0," ",SUM(D24:D30))-E31</f>
        <v>0</v>
      </c>
      <c r="E31" s="162">
        <f>IF(E24=0," ",SUM(E24:E30))</f>
        <v>0</v>
      </c>
      <c r="F31" s="159" t="s">
        <v>174</v>
      </c>
      <c r="G31" s="160"/>
      <c r="H31" s="161">
        <f>IF(G24=0," ",SUM(H24:H30))-I31</f>
        <v>0</v>
      </c>
      <c r="I31" s="162">
        <f>IF(I24=0," ",SUM(I24:I30))</f>
        <v>0</v>
      </c>
      <c r="J31" s="159" t="s">
        <v>174</v>
      </c>
      <c r="K31" s="160"/>
      <c r="L31" s="161">
        <f>IF(K24=0," ",SUM(L24:L30))-M31</f>
        <v>0</v>
      </c>
      <c r="M31" s="162">
        <f>IF(M24=0," ",SUM(M24:M30))</f>
        <v>0</v>
      </c>
      <c r="N31" s="159" t="s">
        <v>174</v>
      </c>
      <c r="O31" s="160"/>
      <c r="P31" s="161">
        <f>IF(O24=0," ",SUM(P24:P30))-Q31</f>
        <v>0</v>
      </c>
      <c r="Q31" s="308">
        <f>IF(Q24=0," ",SUM(R24:R30))</f>
        <v>0</v>
      </c>
      <c r="R31" s="309"/>
      <c r="S31" s="163"/>
      <c r="T31" s="164"/>
      <c r="U31" s="163"/>
      <c r="V31" s="163"/>
      <c r="W31" s="163"/>
      <c r="X31" s="163"/>
      <c r="Y31" s="163"/>
      <c r="Z31" s="163"/>
      <c r="AA31" s="163"/>
      <c r="AB31" s="163"/>
      <c r="AC31" s="163"/>
      <c r="AD31" s="142" t="s">
        <v>175</v>
      </c>
      <c r="AE31" s="138">
        <f t="shared" si="6"/>
        <v>0</v>
      </c>
      <c r="AF31" s="138">
        <f t="shared" si="6"/>
        <v>0</v>
      </c>
      <c r="AG31" s="137">
        <f t="shared" si="12"/>
        <v>0</v>
      </c>
      <c r="AH31" s="138">
        <f t="shared" si="7"/>
        <v>0</v>
      </c>
      <c r="AI31" s="163"/>
      <c r="AJ31" s="163"/>
      <c r="AM31" t="s">
        <v>168</v>
      </c>
      <c r="AN31" s="147">
        <f t="shared" si="13"/>
        <v>0</v>
      </c>
      <c r="AO31" s="93">
        <f t="shared" si="13"/>
        <v>0</v>
      </c>
      <c r="AP31" s="148">
        <f t="shared" si="14"/>
        <v>0</v>
      </c>
      <c r="AQ31" s="93">
        <f t="shared" si="15"/>
        <v>0</v>
      </c>
      <c r="AR31" s="165">
        <v>0</v>
      </c>
      <c r="AS31" s="151">
        <v>0</v>
      </c>
      <c r="AT31" s="44"/>
      <c r="AU31" s="20" t="s">
        <v>176</v>
      </c>
      <c r="AV31" s="93">
        <f>IF(E48="KEP",1,0)</f>
        <v>0</v>
      </c>
      <c r="AW31" s="93" t="e">
        <f>#REF!</f>
        <v>#REF!</v>
      </c>
      <c r="AX31" s="93">
        <f>IF(AV31&lt;1,0,IF(AV31=1,AW31))</f>
        <v>0</v>
      </c>
      <c r="AY31" s="163"/>
      <c r="BB31" s="29"/>
      <c r="BG31" s="118"/>
      <c r="BH31" s="118"/>
      <c r="CH31" s="90" t="s">
        <v>17</v>
      </c>
      <c r="DN31" s="166"/>
    </row>
    <row r="32" spans="2:118" ht="17" thickBot="1" x14ac:dyDescent="0.25">
      <c r="B32" s="103" t="s">
        <v>177</v>
      </c>
      <c r="C32" s="66"/>
      <c r="D32" s="167" t="s">
        <v>5</v>
      </c>
      <c r="E32" s="168"/>
      <c r="F32" s="103" t="s">
        <v>177</v>
      </c>
      <c r="G32" s="66"/>
      <c r="H32" s="167" t="s">
        <v>5</v>
      </c>
      <c r="I32" s="168"/>
      <c r="J32" s="103" t="s">
        <v>177</v>
      </c>
      <c r="K32" s="66"/>
      <c r="L32" s="167" t="s">
        <v>5</v>
      </c>
      <c r="M32" s="168"/>
      <c r="N32" s="103" t="s">
        <v>177</v>
      </c>
      <c r="O32" s="66"/>
      <c r="P32" s="167" t="s">
        <v>5</v>
      </c>
      <c r="Q32" s="310"/>
      <c r="R32" s="311"/>
      <c r="S32" s="44"/>
      <c r="T32" s="169"/>
      <c r="U32" s="44"/>
      <c r="V32" s="44"/>
      <c r="W32" s="44"/>
      <c r="X32" s="44"/>
      <c r="Y32" s="44"/>
      <c r="Z32" s="44"/>
      <c r="AA32" s="44"/>
      <c r="AB32" s="44"/>
      <c r="AC32" s="44"/>
      <c r="AD32" s="142" t="s">
        <v>167</v>
      </c>
      <c r="AE32" s="170">
        <f t="shared" si="6"/>
        <v>0</v>
      </c>
      <c r="AF32" s="138">
        <f t="shared" si="6"/>
        <v>0</v>
      </c>
      <c r="AG32" s="171">
        <f t="shared" si="12"/>
        <v>0</v>
      </c>
      <c r="AH32" s="138">
        <f t="shared" si="7"/>
        <v>0</v>
      </c>
      <c r="AI32" s="44"/>
      <c r="AJ32" s="44"/>
      <c r="AM32" t="s">
        <v>170</v>
      </c>
      <c r="AN32" s="147">
        <f t="shared" si="13"/>
        <v>0</v>
      </c>
      <c r="AO32" s="93">
        <f t="shared" si="13"/>
        <v>0</v>
      </c>
      <c r="AP32" s="148">
        <f t="shared" si="14"/>
        <v>0</v>
      </c>
      <c r="AQ32" s="93">
        <f t="shared" si="15"/>
        <v>0</v>
      </c>
      <c r="AR32" s="165">
        <v>0</v>
      </c>
      <c r="AS32" s="151">
        <v>0</v>
      </c>
      <c r="AT32" s="44"/>
      <c r="AU32" s="20" t="s">
        <v>178</v>
      </c>
      <c r="AV32" s="93">
        <f>IF(AND(N41=" ",N42=" "),2,0)</f>
        <v>0</v>
      </c>
      <c r="AW32" s="93" t="e">
        <f>#REF!</f>
        <v>#REF!</v>
      </c>
      <c r="AX32" s="93">
        <f>IF(AV32&lt;1,0,IF(AV32=2,AW32))</f>
        <v>0</v>
      </c>
      <c r="AY32" s="44"/>
      <c r="BH32" s="58"/>
      <c r="CH32" s="44">
        <v>1</v>
      </c>
      <c r="CI32" t="s">
        <v>179</v>
      </c>
      <c r="DN32" s="166"/>
    </row>
    <row r="33" spans="1:154" ht="17" thickBot="1" x14ac:dyDescent="0.25">
      <c r="B33" s="172" t="s">
        <v>180</v>
      </c>
      <c r="C33" s="173"/>
      <c r="D33" s="173"/>
      <c r="E33" s="173"/>
      <c r="F33" s="173"/>
      <c r="G33" s="173"/>
      <c r="H33" s="174" t="s">
        <v>181</v>
      </c>
      <c r="I33" s="173"/>
      <c r="J33" s="173"/>
      <c r="K33" s="175">
        <f>IF(D21=" "," ",AP22)</f>
        <v>0</v>
      </c>
      <c r="L33" s="174" t="s">
        <v>182</v>
      </c>
      <c r="M33" s="173"/>
      <c r="N33" s="173"/>
      <c r="O33" s="176" t="str">
        <f>IF(D22=" "," ",AS21)</f>
        <v xml:space="preserve"> </v>
      </c>
      <c r="P33" s="173" t="s">
        <v>183</v>
      </c>
      <c r="Q33" s="173"/>
      <c r="R33" s="177"/>
      <c r="S33" s="10"/>
      <c r="T33" s="16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8" t="e">
        <f>IF(#REF!&gt;0.5,#REF!+#REF!,#REF!)</f>
        <v>#REF!</v>
      </c>
      <c r="AF33" s="10"/>
      <c r="AG33" s="10"/>
      <c r="AH33" s="10"/>
      <c r="AI33" s="10"/>
      <c r="AJ33" s="10"/>
      <c r="AM33" t="s">
        <v>175</v>
      </c>
      <c r="AN33" s="179">
        <f>N44</f>
        <v>0</v>
      </c>
      <c r="AO33" s="180">
        <f>O44</f>
        <v>0</v>
      </c>
      <c r="AP33" s="181">
        <f t="shared" si="14"/>
        <v>0</v>
      </c>
      <c r="AQ33" s="180">
        <f t="shared" si="15"/>
        <v>0</v>
      </c>
      <c r="AR33" s="180">
        <f>AP33</f>
        <v>0</v>
      </c>
      <c r="AS33" s="182">
        <f>AP33</f>
        <v>0</v>
      </c>
      <c r="AT33" s="44"/>
      <c r="AU33" s="20" t="s">
        <v>184</v>
      </c>
      <c r="AV33" s="183" t="e">
        <f>IF(AV31+AV32+#REF!=0,4,0)</f>
        <v>#REF!</v>
      </c>
      <c r="AW33" s="93" t="e">
        <f>#REF!</f>
        <v>#REF!</v>
      </c>
      <c r="AX33" s="183" t="e">
        <f>IF(AV33&lt;1,0,IF(AV33=4,AW33))</f>
        <v>#REF!</v>
      </c>
      <c r="AY33" s="10"/>
      <c r="BA33" s="184"/>
      <c r="BP33" s="184"/>
      <c r="BQ33" s="184"/>
      <c r="BR33" s="184"/>
      <c r="CH33" s="44">
        <v>3</v>
      </c>
      <c r="CI33" t="s">
        <v>185</v>
      </c>
    </row>
    <row r="34" spans="1:154" x14ac:dyDescent="0.2">
      <c r="B34" s="185"/>
      <c r="C34" s="101"/>
      <c r="D34" s="101"/>
      <c r="E34" s="101"/>
      <c r="F34" s="101"/>
      <c r="G34" s="101"/>
      <c r="H34" s="101"/>
      <c r="I34" s="101"/>
      <c r="J34" s="102"/>
      <c r="K34" s="186"/>
      <c r="L34" s="187"/>
      <c r="M34" s="187"/>
      <c r="N34" s="188" t="s">
        <v>186</v>
      </c>
      <c r="O34" s="189" t="s">
        <v>187</v>
      </c>
      <c r="P34" s="190" t="s">
        <v>188</v>
      </c>
      <c r="Q34" s="187"/>
      <c r="R34" s="191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Q34" s="44"/>
      <c r="AR34" s="44"/>
      <c r="AS34" s="44"/>
      <c r="AT34" s="44"/>
      <c r="AU34" s="44"/>
      <c r="AV34" s="44"/>
      <c r="AW34" s="44"/>
      <c r="AX34" s="44"/>
      <c r="BA34" s="184"/>
      <c r="BP34" s="184"/>
      <c r="BQ34" s="184"/>
      <c r="BR34" s="184"/>
      <c r="CH34" s="44">
        <v>5</v>
      </c>
      <c r="CI34" s="61" t="s">
        <v>5</v>
      </c>
    </row>
    <row r="35" spans="1:154" x14ac:dyDescent="0.2">
      <c r="B35" s="91"/>
      <c r="J35" s="192"/>
      <c r="K35" s="193" t="s">
        <v>189</v>
      </c>
      <c r="L35" s="194"/>
      <c r="M35" s="194"/>
      <c r="N35" s="195" t="s">
        <v>190</v>
      </c>
      <c r="O35" s="196" t="s">
        <v>191</v>
      </c>
      <c r="P35" s="197" t="s">
        <v>192</v>
      </c>
      <c r="Q35" s="198" t="s">
        <v>192</v>
      </c>
      <c r="R35" s="199" t="s">
        <v>192</v>
      </c>
      <c r="T35" s="200"/>
      <c r="AD35" s="19" t="s">
        <v>193</v>
      </c>
      <c r="AI35" s="313" t="s">
        <v>194</v>
      </c>
      <c r="AJ35" s="313"/>
      <c r="AK35" s="313"/>
      <c r="AN35" s="19" t="s">
        <v>195</v>
      </c>
      <c r="AT35" s="19" t="s">
        <v>196</v>
      </c>
      <c r="BA35" s="184"/>
      <c r="BP35" s="184"/>
      <c r="BQ35" s="184"/>
      <c r="BR35" s="184"/>
      <c r="CH35" s="44">
        <v>6</v>
      </c>
      <c r="CI35" t="s">
        <v>197</v>
      </c>
      <c r="DN35" s="19"/>
    </row>
    <row r="36" spans="1:154" ht="24" customHeight="1" x14ac:dyDescent="0.2">
      <c r="B36" s="91"/>
      <c r="J36" s="201"/>
      <c r="K36" s="202" t="s">
        <v>198</v>
      </c>
      <c r="L36" s="203"/>
      <c r="M36" s="203"/>
      <c r="N36" s="204"/>
      <c r="O36" s="274"/>
      <c r="P36" s="205" t="s">
        <v>5</v>
      </c>
      <c r="Q36" s="206" t="s">
        <v>5</v>
      </c>
      <c r="R36" s="207" t="s">
        <v>5</v>
      </c>
      <c r="S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20" t="s">
        <v>199</v>
      </c>
      <c r="AG36" s="20" t="s">
        <v>200</v>
      </c>
      <c r="AH36" s="20" t="s">
        <v>16</v>
      </c>
      <c r="AI36" s="20" t="s">
        <v>71</v>
      </c>
      <c r="AJ36" s="20" t="s">
        <v>201</v>
      </c>
      <c r="AK36" s="20" t="s">
        <v>31</v>
      </c>
      <c r="AL36" s="20" t="s">
        <v>202</v>
      </c>
      <c r="AN36" s="20" t="s">
        <v>203</v>
      </c>
      <c r="AO36" s="20" t="s">
        <v>204</v>
      </c>
      <c r="AP36" s="20" t="s">
        <v>20</v>
      </c>
      <c r="AQ36" s="20"/>
      <c r="AR36" s="20"/>
      <c r="AS36" s="20"/>
      <c r="AT36" s="20"/>
      <c r="AU36" s="20" t="s">
        <v>17</v>
      </c>
      <c r="AV36" s="20" t="s">
        <v>16</v>
      </c>
      <c r="AW36" s="20" t="s">
        <v>31</v>
      </c>
      <c r="AY36" s="44"/>
      <c r="BA36" s="184"/>
      <c r="BP36" s="184"/>
      <c r="BQ36" s="184"/>
      <c r="BR36" s="184"/>
      <c r="CH36" s="44"/>
    </row>
    <row r="37" spans="1:154" ht="24" customHeight="1" x14ac:dyDescent="0.2">
      <c r="B37" s="91"/>
      <c r="J37" s="201"/>
      <c r="K37" s="202" t="s">
        <v>205</v>
      </c>
      <c r="L37" s="203"/>
      <c r="M37" s="203"/>
      <c r="N37" s="204"/>
      <c r="O37" s="275"/>
      <c r="P37" s="208" t="s">
        <v>5</v>
      </c>
      <c r="Q37" s="206" t="s">
        <v>5</v>
      </c>
      <c r="R37" s="207" t="s">
        <v>5</v>
      </c>
      <c r="S37" s="44"/>
      <c r="T37" s="74"/>
      <c r="U37" s="44"/>
      <c r="V37" s="44"/>
      <c r="W37" s="44"/>
      <c r="X37" s="44"/>
      <c r="Y37" s="44"/>
      <c r="AA37" s="44"/>
      <c r="AB37" s="44"/>
      <c r="AC37" s="44"/>
      <c r="AD37" s="20" t="s">
        <v>15</v>
      </c>
      <c r="AE37" s="20">
        <v>1</v>
      </c>
      <c r="AF37" s="93" t="e">
        <f>#REF!</f>
        <v>#REF!</v>
      </c>
      <c r="AG37" s="93" t="e">
        <f>IF(AF37="X",D31," ")</f>
        <v>#REF!</v>
      </c>
      <c r="AH37" s="39" t="e">
        <f>IF(AF37="X",D32," ")</f>
        <v>#REF!</v>
      </c>
      <c r="AI37" s="93" t="e">
        <f>IF(AF37="X",D19,0)</f>
        <v>#REF!</v>
      </c>
      <c r="AJ37" s="93" t="e">
        <f>IF(AF37="X",D20,0)</f>
        <v>#REF!</v>
      </c>
      <c r="AK37" s="93" t="e">
        <f>AJ37-AI37</f>
        <v>#REF!</v>
      </c>
      <c r="AL37" s="93" t="e">
        <f>IF(AF37="1)"," ",IF(AH37="Rå",1,IF(AH37="Hjort",2,IF(AH37="Räv",3,IF(AH37="Hare",4,IF(AH37="Kanin",5,0))))))</f>
        <v>#REF!</v>
      </c>
      <c r="AN37" s="44">
        <f>C48</f>
        <v>0</v>
      </c>
      <c r="AO37" s="44">
        <v>0</v>
      </c>
      <c r="AP37" s="44"/>
      <c r="AQ37" s="44"/>
      <c r="AR37" s="44"/>
      <c r="AS37" s="44" t="s">
        <v>15</v>
      </c>
      <c r="AT37" s="121">
        <v>1</v>
      </c>
      <c r="AU37" s="93" t="e">
        <f>#REF!</f>
        <v>#REF!</v>
      </c>
      <c r="AV37" s="148" t="str">
        <f>D32</f>
        <v xml:space="preserve"> </v>
      </c>
      <c r="AW37" s="39">
        <f>D31</f>
        <v>0</v>
      </c>
      <c r="AY37" s="44"/>
      <c r="BA37" s="184"/>
      <c r="BP37" s="184"/>
      <c r="BQ37" s="184"/>
      <c r="BR37" s="184"/>
      <c r="BT37" s="44"/>
      <c r="BU37" s="44"/>
      <c r="BV37" s="44"/>
      <c r="BW37" s="44"/>
      <c r="BX37" s="44"/>
      <c r="BY37" s="74"/>
      <c r="BZ37" s="44"/>
      <c r="CA37" s="44"/>
      <c r="CH37" t="s">
        <v>206</v>
      </c>
      <c r="CI37" s="126" t="s">
        <v>207</v>
      </c>
      <c r="DN37" s="44"/>
      <c r="DO37" s="44"/>
    </row>
    <row r="38" spans="1:154" ht="24" customHeight="1" x14ac:dyDescent="0.2">
      <c r="B38" s="91"/>
      <c r="J38" s="201"/>
      <c r="K38" s="202" t="s">
        <v>208</v>
      </c>
      <c r="L38" s="203"/>
      <c r="M38" s="203"/>
      <c r="N38" s="204"/>
      <c r="O38" s="275"/>
      <c r="P38" s="208" t="s">
        <v>5</v>
      </c>
      <c r="Q38" s="206" t="s">
        <v>5</v>
      </c>
      <c r="R38" s="207" t="s">
        <v>5</v>
      </c>
      <c r="S38" s="44"/>
      <c r="U38" s="44"/>
      <c r="V38" s="44"/>
      <c r="W38" s="44"/>
      <c r="X38" s="44"/>
      <c r="Y38" s="44"/>
      <c r="Z38" s="44"/>
      <c r="AA38" s="44"/>
      <c r="AB38" s="44"/>
      <c r="AC38" s="44"/>
      <c r="AD38" s="20" t="s">
        <v>15</v>
      </c>
      <c r="AE38" s="20">
        <v>2</v>
      </c>
      <c r="AF38" s="93" t="e">
        <f>#REF!</f>
        <v>#REF!</v>
      </c>
      <c r="AG38" s="93" t="e">
        <f>IF(AF38="X",H31," ")</f>
        <v>#REF!</v>
      </c>
      <c r="AH38" s="39" t="e">
        <f>IF(AF38="X",H32," ")</f>
        <v>#REF!</v>
      </c>
      <c r="AI38" s="93" t="e">
        <f>IF(AF38="X",H19,0)</f>
        <v>#REF!</v>
      </c>
      <c r="AJ38" s="93" t="e">
        <f>IF(AF38="X",H20,0)</f>
        <v>#REF!</v>
      </c>
      <c r="AK38" s="93" t="e">
        <f t="shared" ref="AK38:AK40" si="17">AJ38-AI38</f>
        <v>#REF!</v>
      </c>
      <c r="AL38" s="93" t="e">
        <f>IF(AF38="1)"," ",IF(AH38="Rå",1,IF(AH38="Hjort",2,IF(AH38="Räv",3,IF(AH38="Hare",4,IF(AH38="Kanin",5,0))))))</f>
        <v>#REF!</v>
      </c>
      <c r="AN38" s="44"/>
      <c r="AO38" s="44">
        <v>1</v>
      </c>
      <c r="AP38" s="44">
        <v>42</v>
      </c>
      <c r="AQ38" s="44"/>
      <c r="AR38" s="44"/>
      <c r="AS38" s="44" t="s">
        <v>15</v>
      </c>
      <c r="AT38" s="121">
        <v>2</v>
      </c>
      <c r="AU38" s="93" t="e">
        <f>#REF!</f>
        <v>#REF!</v>
      </c>
      <c r="AV38" s="148" t="str">
        <f>H32</f>
        <v xml:space="preserve"> </v>
      </c>
      <c r="AW38" s="39">
        <f>H31</f>
        <v>0</v>
      </c>
      <c r="AY38" s="44"/>
      <c r="BA38" s="184"/>
      <c r="BP38" s="184"/>
      <c r="BQ38" s="184"/>
      <c r="BR38" s="184"/>
      <c r="BT38" s="44"/>
      <c r="BU38" s="44"/>
      <c r="BV38" s="44"/>
      <c r="BW38" s="44"/>
      <c r="BX38" s="44"/>
      <c r="BY38" s="44"/>
      <c r="BZ38" s="44"/>
      <c r="CA38" s="44"/>
      <c r="CH38" s="90" t="s">
        <v>17</v>
      </c>
      <c r="DN38" s="44"/>
      <c r="DO38" s="44"/>
    </row>
    <row r="39" spans="1:154" ht="24" customHeight="1" x14ac:dyDescent="0.2">
      <c r="B39" s="91"/>
      <c r="J39" s="201"/>
      <c r="K39" s="202" t="s">
        <v>209</v>
      </c>
      <c r="L39" s="203"/>
      <c r="M39" s="203"/>
      <c r="N39" s="204"/>
      <c r="O39" s="275"/>
      <c r="P39" s="208" t="s">
        <v>5</v>
      </c>
      <c r="Q39" s="206" t="s">
        <v>5</v>
      </c>
      <c r="R39" s="207" t="s">
        <v>5</v>
      </c>
      <c r="S39" s="44"/>
      <c r="T39" s="74"/>
      <c r="U39" s="44"/>
      <c r="V39" s="44"/>
      <c r="W39" s="44"/>
      <c r="X39" s="44"/>
      <c r="Y39" s="44"/>
      <c r="Z39" s="44"/>
      <c r="AA39" s="44"/>
      <c r="AB39" s="44"/>
      <c r="AC39" s="44"/>
      <c r="AD39" s="20" t="s">
        <v>15</v>
      </c>
      <c r="AE39" s="20">
        <v>3</v>
      </c>
      <c r="AF39" s="93" t="e">
        <f>#REF!</f>
        <v>#REF!</v>
      </c>
      <c r="AG39" s="93" t="e">
        <f>IF(AF39="X",L31," ")</f>
        <v>#REF!</v>
      </c>
      <c r="AH39" s="39" t="e">
        <f>IF(AF39="X",L32," ")</f>
        <v>#REF!</v>
      </c>
      <c r="AI39" s="93" t="e">
        <f>IF(AF39="X",L19,0)</f>
        <v>#REF!</v>
      </c>
      <c r="AJ39" s="93" t="e">
        <f>IF(AF39="X",L20,0)</f>
        <v>#REF!</v>
      </c>
      <c r="AK39" s="93" t="e">
        <f t="shared" si="17"/>
        <v>#REF!</v>
      </c>
      <c r="AL39" s="93" t="e">
        <f>IF(AF39="1)"," ",IF(AH39="Rå",1,IF(AH39="Hjort",2,IF(AH39="Räv",3,IF(AH39="Hare",4,IF(AH39="Kanin",5,0))))))</f>
        <v>#REF!</v>
      </c>
      <c r="AN39" s="44"/>
      <c r="AO39" s="44">
        <v>2</v>
      </c>
      <c r="AP39" s="44">
        <v>36</v>
      </c>
      <c r="AQ39" s="44"/>
      <c r="AR39" s="44"/>
      <c r="AS39" s="44" t="s">
        <v>15</v>
      </c>
      <c r="AT39" s="121">
        <v>3</v>
      </c>
      <c r="AU39" s="93" t="e">
        <f>#REF!</f>
        <v>#REF!</v>
      </c>
      <c r="AV39" s="148" t="str">
        <f>L32</f>
        <v xml:space="preserve"> </v>
      </c>
      <c r="AW39" s="39">
        <f>L31</f>
        <v>0</v>
      </c>
      <c r="AY39" s="44"/>
      <c r="BA39" s="184"/>
      <c r="BP39" s="184"/>
      <c r="BQ39" s="184"/>
      <c r="BR39" s="184"/>
      <c r="CA39" s="44"/>
      <c r="CH39" s="44">
        <v>1</v>
      </c>
      <c r="CI39" t="s">
        <v>210</v>
      </c>
    </row>
    <row r="40" spans="1:154" ht="24" customHeight="1" thickBot="1" x14ac:dyDescent="0.25">
      <c r="B40" s="91"/>
      <c r="J40" s="201"/>
      <c r="K40" s="202" t="s">
        <v>211</v>
      </c>
      <c r="L40" s="203"/>
      <c r="M40" s="203"/>
      <c r="N40" s="204"/>
      <c r="O40" s="275"/>
      <c r="P40" s="208" t="s">
        <v>5</v>
      </c>
      <c r="Q40" s="206" t="s">
        <v>5</v>
      </c>
      <c r="R40" s="207" t="s">
        <v>5</v>
      </c>
      <c r="S40" s="44"/>
      <c r="U40" s="44"/>
      <c r="V40" s="44"/>
      <c r="W40" s="44"/>
      <c r="X40" s="44"/>
      <c r="Y40" s="44"/>
      <c r="Z40" s="44"/>
      <c r="AA40" s="44"/>
      <c r="AB40" s="44"/>
      <c r="AC40" s="44"/>
      <c r="AD40" s="20" t="s">
        <v>15</v>
      </c>
      <c r="AE40" s="20">
        <v>4</v>
      </c>
      <c r="AF40" s="183" t="e">
        <f>#REF!</f>
        <v>#REF!</v>
      </c>
      <c r="AG40" s="93" t="e">
        <f>IF(AF40="X",P31," ")</f>
        <v>#REF!</v>
      </c>
      <c r="AH40" s="39" t="e">
        <f>IF(AF40="X",P32," ")</f>
        <v>#REF!</v>
      </c>
      <c r="AI40" s="183" t="e">
        <f>IF(AF40="X",P19,0)</f>
        <v>#REF!</v>
      </c>
      <c r="AJ40" s="183" t="e">
        <f>IF(AF40="X",P20,0)</f>
        <v>#REF!</v>
      </c>
      <c r="AK40" s="93" t="e">
        <f t="shared" si="17"/>
        <v>#REF!</v>
      </c>
      <c r="AL40" s="183" t="e">
        <f>IF(AF40="1)"," ",IF(AH40="Rå",1,IF(AH40="Hjort",2,IF(AH40="Räv",3,IF(AH40="Hare",4,IF(AH40="Kanin",5,0))))))</f>
        <v>#REF!</v>
      </c>
      <c r="AN40" s="44"/>
      <c r="AO40" s="44">
        <v>3</v>
      </c>
      <c r="AP40" s="44">
        <v>30</v>
      </c>
      <c r="AQ40" s="44"/>
      <c r="AR40" s="44"/>
      <c r="AS40" s="44" t="s">
        <v>15</v>
      </c>
      <c r="AT40" s="121">
        <v>4</v>
      </c>
      <c r="AU40" s="183" t="e">
        <f>#REF!</f>
        <v>#REF!</v>
      </c>
      <c r="AV40" s="209" t="str">
        <f>P32</f>
        <v xml:space="preserve"> </v>
      </c>
      <c r="AW40" s="210">
        <f>P31</f>
        <v>0</v>
      </c>
      <c r="AY40" s="44"/>
      <c r="BA40" s="184"/>
      <c r="BP40" s="184"/>
      <c r="BQ40" s="184"/>
      <c r="BR40" s="184"/>
      <c r="CH40" s="44">
        <v>2</v>
      </c>
      <c r="CI40" t="s">
        <v>212</v>
      </c>
    </row>
    <row r="41" spans="1:154" ht="24" customHeight="1" thickBot="1" x14ac:dyDescent="0.25">
      <c r="B41" s="91"/>
      <c r="J41" s="201"/>
      <c r="K41" s="202" t="s">
        <v>213</v>
      </c>
      <c r="L41" s="203"/>
      <c r="M41" s="203"/>
      <c r="N41" s="204"/>
      <c r="O41" s="275"/>
      <c r="P41" s="208" t="s">
        <v>5</v>
      </c>
      <c r="Q41" s="206" t="s">
        <v>5</v>
      </c>
      <c r="R41" s="207" t="s">
        <v>5</v>
      </c>
      <c r="S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211">
        <f>COUNTIF(AF37:AF40,"x")</f>
        <v>0</v>
      </c>
      <c r="AG41" s="211" t="e">
        <f>SUM(AG37:AG40)</f>
        <v>#REF!</v>
      </c>
      <c r="AI41" s="211"/>
      <c r="AJ41" s="211"/>
      <c r="AL41" s="211" t="str">
        <f>IF(AF41=0," ",IF(AL37=AL38,1,IF(AL37=AL39,1,IF(AL37=AL40,1,0))))</f>
        <v xml:space="preserve"> </v>
      </c>
      <c r="AN41" s="44"/>
      <c r="AO41" s="44"/>
      <c r="AP41" s="44"/>
      <c r="AQ41" s="44"/>
      <c r="AR41" s="44"/>
      <c r="AT41" s="44" t="s">
        <v>214</v>
      </c>
      <c r="AU41" s="212" t="e">
        <f>IF($A$48=" "," ",LOOKUP($A$48,$AT$37:$AT$40,AU37:AU40))</f>
        <v>#N/A</v>
      </c>
      <c r="AV41" s="212" t="e">
        <f>IF($A$48=" "," ",LOOKUP($A$48,$AT$37:$AT$40,AV37:AV40))</f>
        <v>#N/A</v>
      </c>
      <c r="AW41" s="211" t="e">
        <f>IF($A$48=" "," ",LOOKUP($A$48,$AT$37:$AT$40,AW37:AW40))</f>
        <v>#N/A</v>
      </c>
      <c r="AY41" s="44"/>
      <c r="BA41" s="184"/>
      <c r="BP41" s="184"/>
      <c r="BQ41" s="184"/>
      <c r="BR41" s="184"/>
      <c r="CH41" s="44">
        <v>3</v>
      </c>
      <c r="CI41" s="61" t="s">
        <v>5</v>
      </c>
    </row>
    <row r="42" spans="1:154" ht="24" customHeight="1" x14ac:dyDescent="0.2">
      <c r="B42" s="91"/>
      <c r="J42" s="201"/>
      <c r="K42" s="202" t="s">
        <v>215</v>
      </c>
      <c r="L42" s="203"/>
      <c r="M42" s="203"/>
      <c r="N42" s="204"/>
      <c r="O42" s="275"/>
      <c r="P42" s="208" t="s">
        <v>5</v>
      </c>
      <c r="Q42" s="206" t="s">
        <v>5</v>
      </c>
      <c r="R42" s="207" t="s">
        <v>5</v>
      </c>
      <c r="S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J42" s="213">
        <f>AJ41-AI41</f>
        <v>0</v>
      </c>
      <c r="AN42" s="44"/>
      <c r="AO42" s="44"/>
      <c r="AP42" s="44"/>
      <c r="AQ42" s="44"/>
      <c r="AR42" s="44"/>
      <c r="AS42" s="44"/>
      <c r="AT42" s="44"/>
      <c r="AU42" s="44"/>
      <c r="AV42" s="44"/>
      <c r="AY42" s="44"/>
      <c r="BA42" s="184"/>
      <c r="BB42" s="184"/>
      <c r="BC42" s="184"/>
      <c r="BD42" s="184"/>
      <c r="BE42" s="184"/>
      <c r="BF42" s="184"/>
      <c r="BG42" s="184"/>
      <c r="BH42" s="184"/>
      <c r="BI42" s="214"/>
      <c r="BJ42" s="214"/>
      <c r="BK42" s="184"/>
      <c r="BL42" s="184"/>
      <c r="BM42" s="184"/>
      <c r="BN42" s="184"/>
      <c r="BO42" s="184"/>
      <c r="BP42" s="184"/>
      <c r="BQ42" s="184"/>
      <c r="BR42" s="184"/>
      <c r="CH42" s="44">
        <v>4</v>
      </c>
      <c r="CI42" t="s">
        <v>216</v>
      </c>
    </row>
    <row r="43" spans="1:154" ht="24" customHeight="1" thickBot="1" x14ac:dyDescent="0.25">
      <c r="B43" s="91"/>
      <c r="J43" s="201"/>
      <c r="K43" s="202" t="s">
        <v>217</v>
      </c>
      <c r="L43" s="203"/>
      <c r="M43" s="203"/>
      <c r="N43" s="204"/>
      <c r="O43" s="275"/>
      <c r="P43" s="208" t="s">
        <v>5</v>
      </c>
      <c r="Q43" s="206" t="s">
        <v>5</v>
      </c>
      <c r="R43" s="207" t="s">
        <v>5</v>
      </c>
      <c r="S43" s="44"/>
      <c r="U43" s="44"/>
      <c r="V43" s="44"/>
      <c r="W43" s="44"/>
      <c r="X43" s="44"/>
      <c r="Y43" s="44"/>
      <c r="Z43" s="44"/>
      <c r="AA43" s="44"/>
      <c r="AB43" s="44"/>
      <c r="AC43" s="44"/>
      <c r="AG43" s="44"/>
      <c r="AH43" s="44"/>
      <c r="AI43" s="93">
        <f>HOUR(AJ42)</f>
        <v>0</v>
      </c>
      <c r="AJ43" s="183">
        <f>MINUTE(AJ42)</f>
        <v>0</v>
      </c>
      <c r="AY43" s="44"/>
      <c r="CH43" s="44">
        <v>5</v>
      </c>
      <c r="CI43" t="s">
        <v>218</v>
      </c>
      <c r="EV43" s="215" t="s">
        <v>219</v>
      </c>
    </row>
    <row r="44" spans="1:154" ht="24" customHeight="1" thickBot="1" x14ac:dyDescent="0.25">
      <c r="B44" s="91"/>
      <c r="J44" s="201"/>
      <c r="K44" s="202" t="s">
        <v>220</v>
      </c>
      <c r="L44" s="203"/>
      <c r="M44" s="203"/>
      <c r="N44" s="204"/>
      <c r="O44" s="275"/>
      <c r="P44" s="208" t="s">
        <v>5</v>
      </c>
      <c r="Q44" s="206" t="s">
        <v>5</v>
      </c>
      <c r="R44" s="207" t="s">
        <v>5</v>
      </c>
      <c r="S44" s="44"/>
      <c r="U44" s="44"/>
      <c r="V44" s="44"/>
      <c r="W44" s="44"/>
      <c r="X44" s="44"/>
      <c r="Y44" s="44"/>
      <c r="Z44" s="44"/>
      <c r="AA44" s="44"/>
      <c r="AB44" s="44"/>
      <c r="AC44" s="44"/>
      <c r="AG44" s="44"/>
      <c r="AH44" s="44"/>
      <c r="AI44" s="20" t="s">
        <v>221</v>
      </c>
      <c r="AJ44" s="216">
        <f>AI43*60+AJ43</f>
        <v>0</v>
      </c>
      <c r="AK44" s="29" t="s">
        <v>183</v>
      </c>
      <c r="AN44" s="19" t="s">
        <v>222</v>
      </c>
      <c r="AY44" s="44"/>
      <c r="BD44" t="s">
        <v>5</v>
      </c>
      <c r="CH44" s="44">
        <v>6</v>
      </c>
      <c r="CI44" t="s">
        <v>223</v>
      </c>
      <c r="EV44" s="44" t="s">
        <v>224</v>
      </c>
      <c r="EW44" s="44" t="s">
        <v>225</v>
      </c>
      <c r="EX44" s="44"/>
    </row>
    <row r="45" spans="1:154" ht="24" customHeight="1" thickBot="1" x14ac:dyDescent="0.25">
      <c r="A45" s="58"/>
      <c r="B45" s="91"/>
      <c r="J45" s="201"/>
      <c r="K45" s="217" t="s">
        <v>226</v>
      </c>
      <c r="L45" s="218"/>
      <c r="M45" s="218"/>
      <c r="N45" s="219"/>
      <c r="O45" s="276"/>
      <c r="P45" s="220" t="s">
        <v>5</v>
      </c>
      <c r="Q45" s="221" t="s">
        <v>5</v>
      </c>
      <c r="R45" s="222" t="s">
        <v>5</v>
      </c>
      <c r="S45" s="44"/>
      <c r="U45" s="44"/>
      <c r="V45" s="44"/>
      <c r="W45" s="44"/>
      <c r="X45" s="44"/>
      <c r="Y45" s="44"/>
      <c r="Z45" s="44"/>
      <c r="AA45" s="44"/>
      <c r="AB45" s="44"/>
      <c r="AC45" s="44"/>
      <c r="AG45" s="44"/>
      <c r="AH45" s="44"/>
      <c r="AI45" s="44"/>
      <c r="AJ45" s="44"/>
      <c r="AO45" s="20" t="s">
        <v>71</v>
      </c>
      <c r="AP45" s="20" t="s">
        <v>124</v>
      </c>
      <c r="AQ45" s="20" t="s">
        <v>15</v>
      </c>
      <c r="AR45" s="20" t="s">
        <v>227</v>
      </c>
      <c r="AS45" s="20" t="s">
        <v>228</v>
      </c>
      <c r="AT45" s="20" t="s">
        <v>229</v>
      </c>
      <c r="AU45" s="20" t="s">
        <v>153</v>
      </c>
      <c r="AY45" s="44"/>
      <c r="CH45" s="44"/>
      <c r="EV45" s="223">
        <f t="shared" ref="EV45:EW50" si="18">BG20</f>
        <v>0</v>
      </c>
      <c r="EW45" s="223">
        <f t="shared" si="18"/>
        <v>0</v>
      </c>
      <c r="EX45" s="224">
        <f t="shared" ref="EX45:EX50" si="19">IF(EW45&gt;EV45,1,0)</f>
        <v>0</v>
      </c>
    </row>
    <row r="46" spans="1:154" ht="24" customHeight="1" thickBot="1" x14ac:dyDescent="0.25">
      <c r="A46" s="58"/>
      <c r="B46" s="127"/>
      <c r="C46" s="128"/>
      <c r="D46" s="128"/>
      <c r="E46" s="128"/>
      <c r="F46" s="128"/>
      <c r="G46" s="128"/>
      <c r="H46" s="128"/>
      <c r="I46" s="128"/>
      <c r="J46" s="225"/>
      <c r="K46" s="314" t="s">
        <v>230</v>
      </c>
      <c r="L46" s="315"/>
      <c r="M46" s="315"/>
      <c r="N46" s="316"/>
      <c r="O46" s="226">
        <f>SUM(N36:N45)</f>
        <v>0</v>
      </c>
      <c r="P46" s="227"/>
      <c r="Q46" s="227"/>
      <c r="R46" s="228"/>
      <c r="T46" s="19"/>
      <c r="AM46" s="229" t="s">
        <v>15</v>
      </c>
      <c r="AN46" s="230">
        <v>1</v>
      </c>
      <c r="AO46" s="231">
        <f>D19</f>
        <v>0</v>
      </c>
      <c r="AP46" s="231">
        <f>D20</f>
        <v>0</v>
      </c>
      <c r="AQ46" s="231">
        <f>AP46-AO46</f>
        <v>0</v>
      </c>
      <c r="AR46" s="232">
        <f>HOUR(AQ46)</f>
        <v>0</v>
      </c>
      <c r="AS46" s="232">
        <f>MINUTE(AQ46)</f>
        <v>0</v>
      </c>
      <c r="AT46" s="93">
        <f>D31</f>
        <v>0</v>
      </c>
      <c r="AU46" s="93" t="str">
        <f>IF(AS46=0," ",IF(AT46&lt;20,1,0))</f>
        <v xml:space="preserve"> </v>
      </c>
      <c r="BQ46" t="s">
        <v>5</v>
      </c>
      <c r="CH46" t="s">
        <v>231</v>
      </c>
      <c r="CI46" s="126" t="s">
        <v>232</v>
      </c>
      <c r="EV46" s="223">
        <f t="shared" si="18"/>
        <v>0</v>
      </c>
      <c r="EW46" s="223">
        <f t="shared" si="18"/>
        <v>0</v>
      </c>
      <c r="EX46" s="224">
        <f t="shared" si="19"/>
        <v>0</v>
      </c>
    </row>
    <row r="47" spans="1:154" ht="12.75" customHeight="1" thickBot="1" x14ac:dyDescent="0.25">
      <c r="A47" s="58"/>
      <c r="B47" s="233" t="s">
        <v>233</v>
      </c>
      <c r="C47" s="33"/>
      <c r="D47" s="33"/>
      <c r="E47" s="33"/>
      <c r="F47" s="33"/>
      <c r="G47" s="33"/>
      <c r="H47" s="33"/>
      <c r="I47" s="33"/>
      <c r="J47" s="33"/>
      <c r="K47" s="234" t="s">
        <v>234</v>
      </c>
      <c r="L47" s="187"/>
      <c r="M47" s="187"/>
      <c r="N47" s="187"/>
      <c r="O47" s="187"/>
      <c r="P47" s="187"/>
      <c r="Q47" s="187"/>
      <c r="R47" s="191"/>
      <c r="T47" s="292"/>
      <c r="U47" s="20"/>
      <c r="V47" s="20"/>
      <c r="AD47" s="44"/>
      <c r="AG47" s="29" t="s">
        <v>235</v>
      </c>
      <c r="AH47" s="20" t="s">
        <v>221</v>
      </c>
      <c r="AI47" s="20"/>
      <c r="AJ47" s="20" t="s">
        <v>236</v>
      </c>
      <c r="AK47" s="20" t="s">
        <v>237</v>
      </c>
      <c r="AM47" s="229" t="s">
        <v>15</v>
      </c>
      <c r="AN47" s="230">
        <v>2</v>
      </c>
      <c r="AO47" s="231">
        <f>H19</f>
        <v>0</v>
      </c>
      <c r="AP47" s="231">
        <f>H20</f>
        <v>0</v>
      </c>
      <c r="AQ47" s="231">
        <f t="shared" ref="AQ47:AQ49" si="20">AP47-AO47</f>
        <v>0</v>
      </c>
      <c r="AR47" s="232">
        <f t="shared" ref="AR47:AR49" si="21">HOUR(AQ47)</f>
        <v>0</v>
      </c>
      <c r="AS47" s="232">
        <f t="shared" ref="AS47:AS49" si="22">MINUTE(AQ47)</f>
        <v>0</v>
      </c>
      <c r="AT47" s="93">
        <f>H31</f>
        <v>0</v>
      </c>
      <c r="AU47" s="93" t="str">
        <f t="shared" ref="AU47:AU49" si="23">IF(AS47=0," ",IF(AT47&lt;20,1,0))</f>
        <v xml:space="preserve"> </v>
      </c>
      <c r="AX47" s="142"/>
      <c r="CH47" s="90" t="s">
        <v>17</v>
      </c>
      <c r="EV47" s="223">
        <f t="shared" si="18"/>
        <v>0</v>
      </c>
      <c r="EW47" s="223">
        <f t="shared" si="18"/>
        <v>0</v>
      </c>
      <c r="EX47" s="224">
        <f t="shared" si="19"/>
        <v>0</v>
      </c>
    </row>
    <row r="48" spans="1:154" ht="17" thickBot="1" x14ac:dyDescent="0.25">
      <c r="A48" s="27"/>
      <c r="B48" s="235" t="s">
        <v>238</v>
      </c>
      <c r="C48" s="236"/>
      <c r="D48" t="s">
        <v>239</v>
      </c>
      <c r="E48" s="293"/>
      <c r="F48" s="293"/>
      <c r="G48" s="237"/>
      <c r="I48" s="101"/>
      <c r="J48" s="102"/>
      <c r="K48" s="238" t="s">
        <v>10</v>
      </c>
      <c r="L48" s="238" t="s">
        <v>240</v>
      </c>
      <c r="M48" s="238" t="s">
        <v>241</v>
      </c>
      <c r="N48" s="238" t="s">
        <v>242</v>
      </c>
      <c r="O48" s="238" t="s">
        <v>243</v>
      </c>
      <c r="P48" s="238" t="s">
        <v>244</v>
      </c>
      <c r="Q48" s="294"/>
      <c r="R48" s="295"/>
      <c r="S48" s="239"/>
      <c r="T48" s="292"/>
      <c r="U48" s="240"/>
      <c r="V48" s="240"/>
      <c r="W48" s="239"/>
      <c r="X48" s="239"/>
      <c r="Y48" s="239"/>
      <c r="Z48" s="239"/>
      <c r="AA48" s="239"/>
      <c r="AB48" s="239"/>
      <c r="AC48" s="239"/>
      <c r="AE48" s="229" t="s">
        <v>245</v>
      </c>
      <c r="AF48" s="93" t="s">
        <v>237</v>
      </c>
      <c r="AG48" s="241">
        <v>120</v>
      </c>
      <c r="AH48" s="242">
        <f>AJ44</f>
        <v>0</v>
      </c>
      <c r="AI48" s="242" t="str">
        <f>IF(AH48&gt;AG48,0,AF48)</f>
        <v>Klart</v>
      </c>
      <c r="AJ48" s="243" t="str">
        <f>AL41</f>
        <v xml:space="preserve"> </v>
      </c>
      <c r="AK48" s="211">
        <f>IF(AJ48=1,AI48,2)</f>
        <v>2</v>
      </c>
      <c r="AM48" s="229" t="s">
        <v>15</v>
      </c>
      <c r="AN48" s="230">
        <v>3</v>
      </c>
      <c r="AO48" s="231">
        <f>L19</f>
        <v>0</v>
      </c>
      <c r="AP48" s="231">
        <f>L20</f>
        <v>0</v>
      </c>
      <c r="AQ48" s="231">
        <f t="shared" si="20"/>
        <v>0</v>
      </c>
      <c r="AR48" s="232">
        <f t="shared" si="21"/>
        <v>0</v>
      </c>
      <c r="AS48" s="232">
        <f t="shared" si="22"/>
        <v>0</v>
      </c>
      <c r="AT48" s="93">
        <f>L31</f>
        <v>0</v>
      </c>
      <c r="AU48" s="93" t="str">
        <f t="shared" si="23"/>
        <v xml:space="preserve"> </v>
      </c>
      <c r="AX48" s="142"/>
      <c r="AY48" s="239"/>
      <c r="CH48" s="44">
        <v>1</v>
      </c>
      <c r="CI48" t="s">
        <v>246</v>
      </c>
      <c r="EV48" s="223">
        <f t="shared" si="18"/>
        <v>0</v>
      </c>
      <c r="EW48" s="223">
        <f t="shared" si="18"/>
        <v>0</v>
      </c>
      <c r="EX48" s="224">
        <f t="shared" si="19"/>
        <v>0</v>
      </c>
    </row>
    <row r="49" spans="1:160" ht="19.5" customHeight="1" thickBot="1" x14ac:dyDescent="0.25">
      <c r="B49" s="244" t="s">
        <v>247</v>
      </c>
      <c r="C49" s="128"/>
      <c r="D49" s="128"/>
      <c r="E49" s="128"/>
      <c r="F49" s="128"/>
      <c r="G49" s="128"/>
      <c r="H49" s="128"/>
      <c r="I49" s="128"/>
      <c r="J49" s="225"/>
      <c r="K49" s="245" t="s">
        <v>5</v>
      </c>
      <c r="L49" s="245" t="s">
        <v>5</v>
      </c>
      <c r="M49" s="245" t="s">
        <v>5</v>
      </c>
      <c r="N49" s="245"/>
      <c r="O49" s="245"/>
      <c r="P49" s="245"/>
      <c r="Q49" s="296"/>
      <c r="R49" s="297"/>
      <c r="T49" s="19"/>
      <c r="AE49" s="229" t="s">
        <v>248</v>
      </c>
      <c r="AF49" s="93" t="s">
        <v>237</v>
      </c>
      <c r="AG49" s="93">
        <v>120</v>
      </c>
      <c r="AH49" s="93">
        <f>AJ44</f>
        <v>0</v>
      </c>
      <c r="AI49" s="242" t="str">
        <f>IF(AH49&gt;AG49,0,AF49)</f>
        <v>Klart</v>
      </c>
      <c r="AJ49" s="148"/>
      <c r="AK49" s="211">
        <f>IF(AI49="Klart",1,2)</f>
        <v>1</v>
      </c>
      <c r="AM49" s="229" t="s">
        <v>15</v>
      </c>
      <c r="AN49" s="230">
        <v>4</v>
      </c>
      <c r="AO49" s="231">
        <f>P19</f>
        <v>0</v>
      </c>
      <c r="AP49" s="231">
        <f>P20</f>
        <v>0</v>
      </c>
      <c r="AQ49" s="231">
        <f t="shared" si="20"/>
        <v>0</v>
      </c>
      <c r="AR49" s="232">
        <f t="shared" si="21"/>
        <v>0</v>
      </c>
      <c r="AS49" s="232">
        <f t="shared" si="22"/>
        <v>0</v>
      </c>
      <c r="AT49" s="93">
        <f>P31</f>
        <v>0</v>
      </c>
      <c r="AU49" s="93" t="str">
        <f t="shared" si="23"/>
        <v xml:space="preserve"> </v>
      </c>
      <c r="AX49" s="142"/>
      <c r="CH49" s="44">
        <v>2</v>
      </c>
      <c r="CI49" t="s">
        <v>249</v>
      </c>
      <c r="EV49" s="223">
        <f t="shared" si="18"/>
        <v>0</v>
      </c>
      <c r="EW49" s="223">
        <f t="shared" si="18"/>
        <v>0</v>
      </c>
      <c r="EX49" s="224">
        <f t="shared" si="19"/>
        <v>0</v>
      </c>
    </row>
    <row r="50" spans="1:160" ht="15.75" customHeight="1" thickBot="1" x14ac:dyDescent="0.25">
      <c r="B50" s="91"/>
      <c r="C50" s="298" t="s">
        <v>5</v>
      </c>
      <c r="D50" s="298"/>
      <c r="E50" s="298"/>
      <c r="F50" s="298"/>
      <c r="G50" s="298"/>
      <c r="H50" s="298"/>
      <c r="I50" s="298"/>
      <c r="J50" s="299"/>
      <c r="K50" s="238" t="s">
        <v>17</v>
      </c>
      <c r="L50" s="238" t="s">
        <v>17</v>
      </c>
      <c r="M50" s="238" t="s">
        <v>17</v>
      </c>
      <c r="N50" s="238" t="s">
        <v>17</v>
      </c>
      <c r="O50" s="246" t="s">
        <v>17</v>
      </c>
      <c r="P50" s="246" t="s">
        <v>17</v>
      </c>
      <c r="Q50" s="302" t="s">
        <v>5</v>
      </c>
      <c r="R50" s="303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J50" s="239"/>
      <c r="AR50" s="44"/>
      <c r="AS50" s="44"/>
      <c r="AU50" s="216">
        <f>SUM(AU46:AU49)</f>
        <v>0</v>
      </c>
      <c r="AX50" s="142"/>
      <c r="AY50" s="239"/>
      <c r="CH50" s="44">
        <v>3</v>
      </c>
      <c r="CI50" s="61" t="s">
        <v>5</v>
      </c>
      <c r="EV50" s="223">
        <f t="shared" si="18"/>
        <v>0</v>
      </c>
      <c r="EW50" s="223">
        <f t="shared" si="18"/>
        <v>0</v>
      </c>
      <c r="EX50" s="224">
        <f t="shared" si="19"/>
        <v>0</v>
      </c>
    </row>
    <row r="51" spans="1:160" ht="15" customHeight="1" thickBot="1" x14ac:dyDescent="0.25">
      <c r="A51" t="s">
        <v>250</v>
      </c>
      <c r="B51" s="247" t="s">
        <v>251</v>
      </c>
      <c r="C51" s="300"/>
      <c r="D51" s="300"/>
      <c r="E51" s="300"/>
      <c r="F51" s="300"/>
      <c r="G51" s="300"/>
      <c r="H51" s="300"/>
      <c r="I51" s="300"/>
      <c r="J51" s="301"/>
      <c r="K51" s="23"/>
      <c r="O51" s="248" t="s">
        <v>252</v>
      </c>
      <c r="P51" s="249">
        <f>O46</f>
        <v>0</v>
      </c>
      <c r="Q51" s="304"/>
      <c r="R51" s="305"/>
      <c r="S51" s="250"/>
      <c r="T51" s="250"/>
      <c r="V51" s="250"/>
      <c r="W51" s="250"/>
      <c r="X51" s="250"/>
      <c r="Y51" s="250"/>
      <c r="Z51" s="250"/>
      <c r="AA51" s="250"/>
      <c r="AB51" s="250"/>
      <c r="AC51" s="250"/>
      <c r="AD51" s="250"/>
      <c r="AJ51" s="250"/>
      <c r="AU51" s="29" t="s">
        <v>253</v>
      </c>
      <c r="AX51" s="142"/>
      <c r="AY51" s="250"/>
      <c r="CH51" s="44">
        <v>4</v>
      </c>
      <c r="CI51" t="s">
        <v>254</v>
      </c>
      <c r="EX51" s="224">
        <f>SUM(EX45:EX50)</f>
        <v>0</v>
      </c>
    </row>
    <row r="52" spans="1:160" ht="18.75" customHeight="1" thickBot="1" x14ac:dyDescent="0.25">
      <c r="B52" s="251"/>
      <c r="C52" s="128"/>
      <c r="D52" s="128"/>
      <c r="E52" s="280"/>
      <c r="F52" s="281"/>
      <c r="G52" s="281"/>
      <c r="H52" s="281"/>
      <c r="I52" s="281"/>
      <c r="J52" s="282"/>
      <c r="K52" s="23"/>
      <c r="R52" s="89"/>
      <c r="AU52" s="216" t="e">
        <f>LOOKUP(A48,AN46:AN49,AU46:AU49)</f>
        <v>#N/A</v>
      </c>
      <c r="AX52" s="142"/>
      <c r="CH52" s="44">
        <v>5</v>
      </c>
      <c r="CI52" s="61" t="s">
        <v>5</v>
      </c>
    </row>
    <row r="53" spans="1:160" ht="12.75" customHeight="1" x14ac:dyDescent="0.2">
      <c r="B53" s="252"/>
      <c r="D53" s="283"/>
      <c r="E53" s="283"/>
      <c r="F53" s="283"/>
      <c r="G53" s="283"/>
      <c r="H53" s="283"/>
      <c r="I53" s="283"/>
      <c r="J53" s="284"/>
      <c r="K53" s="253" t="s">
        <v>255</v>
      </c>
      <c r="L53" s="254" t="s">
        <v>5</v>
      </c>
      <c r="M53" s="10" t="s">
        <v>256</v>
      </c>
      <c r="R53" s="89"/>
      <c r="AL53" s="58" t="s">
        <v>257</v>
      </c>
      <c r="AX53" s="158"/>
      <c r="CH53" s="44">
        <v>6</v>
      </c>
      <c r="CI53" t="s">
        <v>258</v>
      </c>
    </row>
    <row r="54" spans="1:160" ht="24.75" customHeight="1" thickBot="1" x14ac:dyDescent="0.45">
      <c r="B54" s="244" t="s">
        <v>259</v>
      </c>
      <c r="C54" s="128"/>
      <c r="D54" s="285"/>
      <c r="E54" s="285"/>
      <c r="F54" s="285"/>
      <c r="G54" s="285"/>
      <c r="H54" s="285"/>
      <c r="I54" s="285"/>
      <c r="J54" s="286"/>
      <c r="K54" s="287" t="s">
        <v>5</v>
      </c>
      <c r="L54" s="288"/>
      <c r="M54" s="289" t="s">
        <v>5</v>
      </c>
      <c r="N54" s="289"/>
      <c r="O54" s="289"/>
      <c r="P54" s="289"/>
      <c r="Q54" s="289"/>
      <c r="R54" s="290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J54" s="255"/>
      <c r="AM54" s="20" t="s">
        <v>20</v>
      </c>
      <c r="AN54" s="20" t="s">
        <v>20</v>
      </c>
      <c r="AO54" s="113" t="s">
        <v>257</v>
      </c>
      <c r="AP54" s="20" t="s">
        <v>260</v>
      </c>
      <c r="AQ54" s="20" t="s">
        <v>261</v>
      </c>
      <c r="AR54" s="113" t="s">
        <v>257</v>
      </c>
      <c r="AS54" s="20" t="s">
        <v>262</v>
      </c>
      <c r="AT54" s="20" t="s">
        <v>263</v>
      </c>
      <c r="AU54" s="20" t="str">
        <f>AO54</f>
        <v>D-cert</v>
      </c>
      <c r="AV54" s="20" t="s">
        <v>264</v>
      </c>
      <c r="AX54" s="20" t="s">
        <v>265</v>
      </c>
      <c r="AY54" s="20" t="s">
        <v>266</v>
      </c>
      <c r="CH54" s="44"/>
      <c r="EV54" s="19" t="s">
        <v>267</v>
      </c>
    </row>
    <row r="55" spans="1:160" ht="21" customHeight="1" thickBot="1" x14ac:dyDescent="0.25">
      <c r="B55" s="19"/>
      <c r="H55" s="19"/>
      <c r="L55" s="19"/>
      <c r="AL55" s="85" t="s">
        <v>257</v>
      </c>
      <c r="AM55" s="40" t="e">
        <f>#REF!</f>
        <v>#REF!</v>
      </c>
      <c r="AN55" s="40">
        <f>O46</f>
        <v>0</v>
      </c>
      <c r="AO55" s="40" t="e">
        <f>IF(AM55&gt;AN55,0,AL55)</f>
        <v>#REF!</v>
      </c>
      <c r="AP55" s="40" t="e">
        <f>AW41</f>
        <v>#N/A</v>
      </c>
      <c r="AQ55" s="40" t="e">
        <f>#REF!</f>
        <v>#REF!</v>
      </c>
      <c r="AR55" s="40" t="e">
        <f>IF(AP55=" "," ",IF(AP55&lt;AQ55,0,AO55))</f>
        <v>#N/A</v>
      </c>
      <c r="AS55" s="40">
        <f>AN63</f>
        <v>0</v>
      </c>
      <c r="AT55" s="40">
        <f>AO63</f>
        <v>0</v>
      </c>
      <c r="AU55" s="40" t="e">
        <f>IF(AR55=" "," ",IF(AS55&gt;0.5,AO55,IF(AND(AS55&gt;0.5,AT55&gt;=0.5),AR55,0)))</f>
        <v>#N/A</v>
      </c>
      <c r="AV55" s="40"/>
      <c r="AW55" s="40"/>
      <c r="AX55" s="41"/>
      <c r="AY55" s="216" t="e">
        <f>AU55</f>
        <v>#N/A</v>
      </c>
      <c r="CH55" t="s">
        <v>268</v>
      </c>
      <c r="CI55" s="126" t="s">
        <v>269</v>
      </c>
      <c r="EU55" s="20" t="s">
        <v>15</v>
      </c>
      <c r="EV55" s="20" t="s">
        <v>16</v>
      </c>
      <c r="EW55" s="20" t="s">
        <v>199</v>
      </c>
      <c r="EX55" s="44" t="s">
        <v>270</v>
      </c>
      <c r="EY55" s="44" t="s">
        <v>15</v>
      </c>
      <c r="EZ55" s="20" t="s">
        <v>28</v>
      </c>
      <c r="FA55" s="20" t="s">
        <v>271</v>
      </c>
      <c r="FB55" s="101" t="s">
        <v>272</v>
      </c>
      <c r="FC55" s="256" t="s">
        <v>71</v>
      </c>
      <c r="FD55" s="257" t="s">
        <v>124</v>
      </c>
    </row>
    <row r="56" spans="1:160" x14ac:dyDescent="0.2">
      <c r="B56" s="19"/>
      <c r="AL56" s="85"/>
      <c r="AX56" s="258"/>
      <c r="CH56" s="90" t="s">
        <v>17</v>
      </c>
      <c r="EU56" s="224">
        <f t="shared" ref="EU56:EW61" si="24">BB20</f>
        <v>0</v>
      </c>
      <c r="EV56" s="224">
        <f t="shared" si="24"/>
        <v>0</v>
      </c>
      <c r="EW56" s="224">
        <f t="shared" si="24"/>
        <v>0</v>
      </c>
      <c r="EX56" s="224">
        <f t="shared" ref="EX56:EY61" si="25">BG20</f>
        <v>0</v>
      </c>
      <c r="EY56" s="224">
        <f t="shared" si="25"/>
        <v>0</v>
      </c>
      <c r="EZ56" s="224">
        <f t="shared" ref="EZ56:EZ61" si="26">IF(EW56="x",EU56,0)</f>
        <v>0</v>
      </c>
      <c r="FA56" s="224">
        <f t="shared" ref="FA56:FA61" si="27">IF(OR(EZ56=0,EZ56=$EW$64),0,EZ56)</f>
        <v>0</v>
      </c>
      <c r="FB56" s="224" t="e">
        <f>IF($BC$20=#REF!,1,IF($BC$20=#REF!,2,IF($BC$20=#REF!,3,IF($BC$20=#REF!,4,IF($BC$20=#REF!,5,0)))))</f>
        <v>#REF!</v>
      </c>
      <c r="FC56" s="259" t="e">
        <f t="shared" ref="FC56:FC61" si="28">LOOKUP(EU56,$BB$20:$BB$25,$BE$20:$BE$25)</f>
        <v>#N/A</v>
      </c>
      <c r="FD56" s="259" t="e">
        <f t="shared" ref="FD56:FD61" si="29">LOOKUP(EU56,$BB$20:$BB$25,$BF$20:$BF$25)</f>
        <v>#N/A</v>
      </c>
    </row>
    <row r="57" spans="1:160" ht="12.75" customHeight="1" x14ac:dyDescent="0.2">
      <c r="B57" s="19"/>
      <c r="AM57" s="19" t="s">
        <v>257</v>
      </c>
      <c r="AN57" s="84"/>
      <c r="AO57" s="84"/>
      <c r="AP57" s="84"/>
      <c r="AR57" s="44"/>
      <c r="AT57" s="44"/>
      <c r="AU57" s="44"/>
      <c r="AW57" s="260" t="s">
        <v>273</v>
      </c>
      <c r="AX57" s="10"/>
      <c r="CH57" s="44">
        <v>1</v>
      </c>
      <c r="CI57" t="s">
        <v>274</v>
      </c>
      <c r="EU57" s="224">
        <f t="shared" si="24"/>
        <v>0</v>
      </c>
      <c r="EV57" s="224">
        <f t="shared" si="24"/>
        <v>0</v>
      </c>
      <c r="EW57" s="224">
        <f t="shared" si="24"/>
        <v>0</v>
      </c>
      <c r="EX57" s="224">
        <f t="shared" si="25"/>
        <v>0</v>
      </c>
      <c r="EY57" s="224">
        <f t="shared" si="25"/>
        <v>0</v>
      </c>
      <c r="EZ57" s="224">
        <f t="shared" si="26"/>
        <v>0</v>
      </c>
      <c r="FA57" s="224">
        <f t="shared" si="27"/>
        <v>0</v>
      </c>
      <c r="FB57" s="224" t="e">
        <f>IF($BC$21=#REF!,1,IF($BC$21=#REF!,2,IF($BC$21=#REF!,3,IF($BC$21=#REF!,4,IF($BC$21=#REF!,5,0)))))</f>
        <v>#REF!</v>
      </c>
      <c r="FC57" s="259" t="e">
        <f t="shared" si="28"/>
        <v>#N/A</v>
      </c>
      <c r="FD57" s="259" t="e">
        <f t="shared" si="29"/>
        <v>#N/A</v>
      </c>
    </row>
    <row r="58" spans="1:160" ht="13.5" customHeight="1" x14ac:dyDescent="0.2">
      <c r="B58" s="19"/>
      <c r="AM58" s="20" t="s">
        <v>17</v>
      </c>
      <c r="AN58" s="20" t="s">
        <v>275</v>
      </c>
      <c r="AO58" s="20" t="s">
        <v>276</v>
      </c>
      <c r="CH58" s="44">
        <v>2</v>
      </c>
      <c r="CI58" t="s">
        <v>277</v>
      </c>
      <c r="EU58" s="224">
        <f t="shared" si="24"/>
        <v>0</v>
      </c>
      <c r="EV58" s="224">
        <f t="shared" si="24"/>
        <v>0</v>
      </c>
      <c r="EW58" s="224">
        <f t="shared" si="24"/>
        <v>0</v>
      </c>
      <c r="EX58" s="224">
        <f t="shared" si="25"/>
        <v>0</v>
      </c>
      <c r="EY58" s="224">
        <f t="shared" si="25"/>
        <v>0</v>
      </c>
      <c r="EZ58" s="224">
        <f t="shared" si="26"/>
        <v>0</v>
      </c>
      <c r="FA58" s="224">
        <f t="shared" si="27"/>
        <v>0</v>
      </c>
      <c r="FB58" s="224" t="e">
        <f>IF($BC$22=#REF!,1,IF($BC$22=#REF!,2,IF($BC$22=#REF!,3,IF($BC$22=#REF!,4,IF($BC$22=#REF!,5,0)))))</f>
        <v>#REF!</v>
      </c>
      <c r="FC58" s="259" t="e">
        <f t="shared" si="28"/>
        <v>#N/A</v>
      </c>
      <c r="FD58" s="259" t="e">
        <f t="shared" si="29"/>
        <v>#N/A</v>
      </c>
    </row>
    <row r="59" spans="1:160" ht="15.75" customHeight="1" x14ac:dyDescent="0.2">
      <c r="B59" s="19"/>
      <c r="AL59" s="26" t="s">
        <v>28</v>
      </c>
      <c r="AM59" s="93" t="e">
        <f>#REF!</f>
        <v>#REF!</v>
      </c>
      <c r="AN59" s="93" t="e">
        <f>IF(AM59=1,1,0)</f>
        <v>#REF!</v>
      </c>
      <c r="AO59" s="93" t="e">
        <f>IF(AM59=2,1,0)</f>
        <v>#REF!</v>
      </c>
      <c r="AR59" s="44"/>
      <c r="AT59" s="44"/>
      <c r="AV59" s="44"/>
      <c r="CH59" s="44">
        <v>3</v>
      </c>
      <c r="CI59" s="61" t="s">
        <v>5</v>
      </c>
      <c r="EU59" s="224">
        <f t="shared" si="24"/>
        <v>0</v>
      </c>
      <c r="EV59" s="224">
        <f t="shared" si="24"/>
        <v>0</v>
      </c>
      <c r="EW59" s="224">
        <f t="shared" si="24"/>
        <v>0</v>
      </c>
      <c r="EX59" s="224">
        <f t="shared" si="25"/>
        <v>0</v>
      </c>
      <c r="EY59" s="224">
        <f t="shared" si="25"/>
        <v>0</v>
      </c>
      <c r="EZ59" s="224">
        <f t="shared" si="26"/>
        <v>0</v>
      </c>
      <c r="FA59" s="224">
        <f t="shared" si="27"/>
        <v>0</v>
      </c>
      <c r="FB59" s="224" t="e">
        <f>IF($BC$23=#REF!,1,IF($BC$23=#REF!,2,IF($BC$23=#REF!,3,IF($BC$23=#REF!,4,IF($BC$23=#REF!,5,0)))))</f>
        <v>#REF!</v>
      </c>
      <c r="FC59" s="259" t="e">
        <f t="shared" si="28"/>
        <v>#N/A</v>
      </c>
      <c r="FD59" s="259" t="e">
        <f t="shared" si="29"/>
        <v>#N/A</v>
      </c>
    </row>
    <row r="60" spans="1:160" ht="14.25" customHeight="1" x14ac:dyDescent="0.2">
      <c r="B60" s="291"/>
      <c r="C60" s="291"/>
      <c r="AL60" s="26" t="s">
        <v>30</v>
      </c>
      <c r="AM60" s="93" t="e">
        <f>#REF!</f>
        <v>#REF!</v>
      </c>
      <c r="AN60" s="93" t="e">
        <f t="shared" ref="AN60:AN62" si="30">IF(AM60=1,1,0)</f>
        <v>#REF!</v>
      </c>
      <c r="AO60" s="93" t="e">
        <f t="shared" ref="AO60:AO62" si="31">IF(AM60=2,1,0)</f>
        <v>#REF!</v>
      </c>
      <c r="AR60" s="44"/>
      <c r="AS60" s="44"/>
      <c r="AT60" s="44"/>
      <c r="AV60" s="44"/>
      <c r="AX60" s="44"/>
      <c r="CH60" s="44">
        <v>4</v>
      </c>
      <c r="CI60" t="s">
        <v>278</v>
      </c>
      <c r="EU60" s="224">
        <f t="shared" si="24"/>
        <v>0</v>
      </c>
      <c r="EV60" s="224">
        <f t="shared" si="24"/>
        <v>0</v>
      </c>
      <c r="EW60" s="224">
        <f t="shared" si="24"/>
        <v>0</v>
      </c>
      <c r="EX60" s="224">
        <f t="shared" si="25"/>
        <v>0</v>
      </c>
      <c r="EY60" s="224">
        <f t="shared" si="25"/>
        <v>0</v>
      </c>
      <c r="EZ60" s="224">
        <f t="shared" si="26"/>
        <v>0</v>
      </c>
      <c r="FA60" s="224">
        <f t="shared" si="27"/>
        <v>0</v>
      </c>
      <c r="FB60" s="224" t="e">
        <f>IF($BC$24=#REF!,1,IF($BC$24=#REF!,2,IF($BC$24=#REF!,3,IF($BC$24=#REF!,4,IF($BC$24=#REF!,5,0)))))</f>
        <v>#REF!</v>
      </c>
      <c r="FC60" s="259" t="e">
        <f t="shared" si="28"/>
        <v>#N/A</v>
      </c>
      <c r="FD60" s="259" t="e">
        <f t="shared" si="29"/>
        <v>#N/A</v>
      </c>
    </row>
    <row r="61" spans="1:160" ht="15.75" customHeight="1" x14ac:dyDescent="0.2">
      <c r="B61" s="277"/>
      <c r="C61" s="277"/>
      <c r="D61" s="261"/>
      <c r="E61" s="261"/>
      <c r="F61" s="261"/>
      <c r="G61" s="261"/>
      <c r="H61" s="278"/>
      <c r="I61" s="278"/>
      <c r="J61" s="278"/>
      <c r="K61" s="278"/>
      <c r="L61" s="278"/>
      <c r="M61" s="278"/>
      <c r="N61" s="279"/>
      <c r="O61" s="279"/>
      <c r="P61" s="279"/>
      <c r="Q61" s="279"/>
      <c r="R61" s="279"/>
      <c r="S61" s="279"/>
      <c r="T61" s="279"/>
      <c r="AL61" s="26" t="s">
        <v>36</v>
      </c>
      <c r="AM61" s="93" t="e">
        <f>#REF!</f>
        <v>#REF!</v>
      </c>
      <c r="AN61" s="93" t="e">
        <f t="shared" si="30"/>
        <v>#REF!</v>
      </c>
      <c r="AO61" s="93" t="e">
        <f t="shared" si="31"/>
        <v>#REF!</v>
      </c>
      <c r="AP61" s="98"/>
      <c r="AR61" s="44"/>
      <c r="AS61" s="44"/>
      <c r="AT61" s="44"/>
      <c r="AX61" s="44"/>
      <c r="CH61" s="44">
        <v>5</v>
      </c>
      <c r="CI61" s="262" t="s">
        <v>279</v>
      </c>
      <c r="EU61" s="224">
        <f t="shared" si="24"/>
        <v>0</v>
      </c>
      <c r="EV61" s="224">
        <f t="shared" si="24"/>
        <v>0</v>
      </c>
      <c r="EW61" s="224">
        <f t="shared" si="24"/>
        <v>0</v>
      </c>
      <c r="EX61" s="224">
        <f t="shared" si="25"/>
        <v>0</v>
      </c>
      <c r="EY61" s="224">
        <f t="shared" si="25"/>
        <v>0</v>
      </c>
      <c r="EZ61" s="224">
        <f t="shared" si="26"/>
        <v>0</v>
      </c>
      <c r="FA61" s="224">
        <f t="shared" si="27"/>
        <v>0</v>
      </c>
      <c r="FB61" s="224" t="e">
        <f>IF($BC$25=#REF!,1,IF($BC$25=#REF!,2,IF($BC$25=#REF!,3,IF($BC$25=#REF!,4,IF($BC$25=#REF!,5,0)))))</f>
        <v>#REF!</v>
      </c>
      <c r="FC61" s="259" t="e">
        <f t="shared" si="28"/>
        <v>#N/A</v>
      </c>
      <c r="FD61" s="259" t="e">
        <f t="shared" si="29"/>
        <v>#N/A</v>
      </c>
    </row>
    <row r="62" spans="1:160" ht="15.75" customHeight="1" thickBot="1" x14ac:dyDescent="0.25">
      <c r="B62" s="277"/>
      <c r="C62" s="277"/>
      <c r="D62" s="261"/>
      <c r="E62" s="261"/>
      <c r="F62" s="261"/>
      <c r="G62" s="261"/>
      <c r="H62" s="278"/>
      <c r="I62" s="278"/>
      <c r="J62" s="278"/>
      <c r="K62" s="278"/>
      <c r="L62" s="278"/>
      <c r="M62" s="278"/>
      <c r="N62" s="279"/>
      <c r="O62" s="279"/>
      <c r="P62" s="279"/>
      <c r="Q62" s="279"/>
      <c r="R62" s="279"/>
      <c r="S62" s="279"/>
      <c r="T62" s="279"/>
      <c r="AE62" s="19" t="s">
        <v>280</v>
      </c>
      <c r="AL62" s="26" t="s">
        <v>39</v>
      </c>
      <c r="AM62" s="183" t="e">
        <f>#REF!</f>
        <v>#REF!</v>
      </c>
      <c r="AN62" s="93" t="e">
        <f t="shared" si="30"/>
        <v>#REF!</v>
      </c>
      <c r="AO62" s="93" t="e">
        <f t="shared" si="31"/>
        <v>#REF!</v>
      </c>
      <c r="AP62" s="105"/>
      <c r="AR62" s="44"/>
      <c r="AS62" s="44"/>
      <c r="AT62" s="44"/>
      <c r="AW62" s="44"/>
      <c r="AX62" s="44"/>
      <c r="CH62" s="44">
        <v>6</v>
      </c>
      <c r="CI62" t="s">
        <v>281</v>
      </c>
      <c r="EU62" s="44"/>
      <c r="EV62" s="44"/>
      <c r="EW62" s="44"/>
      <c r="EX62" s="44"/>
      <c r="EY62" s="44"/>
      <c r="FA62" s="44" t="s">
        <v>282</v>
      </c>
    </row>
    <row r="63" spans="1:160" ht="15.75" customHeight="1" thickBot="1" x14ac:dyDescent="0.25">
      <c r="B63" s="277"/>
      <c r="C63" s="277"/>
      <c r="D63" s="261"/>
      <c r="E63" s="261"/>
      <c r="F63" s="261"/>
      <c r="G63" s="261"/>
      <c r="H63" s="278"/>
      <c r="I63" s="278"/>
      <c r="J63" s="278"/>
      <c r="K63" s="278"/>
      <c r="L63" s="278"/>
      <c r="M63" s="278"/>
      <c r="N63" s="279"/>
      <c r="O63" s="279"/>
      <c r="P63" s="279"/>
      <c r="Q63" s="279"/>
      <c r="R63" s="279"/>
      <c r="S63" s="279"/>
      <c r="T63" s="279"/>
      <c r="AE63">
        <v>0</v>
      </c>
      <c r="AF63">
        <v>0</v>
      </c>
      <c r="AH63">
        <v>0</v>
      </c>
      <c r="AI63">
        <v>0</v>
      </c>
      <c r="AL63" s="105"/>
      <c r="AM63" s="212">
        <f>COUNTIFS(AM59:AM62,"2")</f>
        <v>0</v>
      </c>
      <c r="AN63" s="211">
        <f>COUNTIF(AN59:AN62,1)</f>
        <v>0</v>
      </c>
      <c r="AO63" s="211">
        <f>COUNTIF(AO59:AO62,1)</f>
        <v>0</v>
      </c>
      <c r="AP63" s="263"/>
      <c r="AR63" s="44"/>
      <c r="AS63" s="44"/>
      <c r="AU63" s="44"/>
      <c r="AW63" s="44"/>
      <c r="AX63" s="44"/>
      <c r="CH63" s="44"/>
      <c r="EU63" s="44"/>
      <c r="EW63" s="44" t="s">
        <v>15</v>
      </c>
      <c r="EX63" s="44" t="s">
        <v>16</v>
      </c>
      <c r="EY63" s="44" t="s">
        <v>283</v>
      </c>
      <c r="EZ63" s="44" t="s">
        <v>31</v>
      </c>
      <c r="FA63" s="44" t="s">
        <v>284</v>
      </c>
      <c r="FB63" s="44"/>
      <c r="FC63" s="44"/>
    </row>
    <row r="64" spans="1:160" ht="15.75" customHeight="1" thickBot="1" x14ac:dyDescent="0.25">
      <c r="B64" s="277"/>
      <c r="C64" s="277"/>
      <c r="D64" s="261"/>
      <c r="E64" s="261"/>
      <c r="F64" s="261"/>
      <c r="G64" s="261"/>
      <c r="H64" s="278"/>
      <c r="I64" s="278"/>
      <c r="J64" s="278"/>
      <c r="K64" s="278"/>
      <c r="L64" s="278"/>
      <c r="M64" s="278"/>
      <c r="N64" s="279"/>
      <c r="O64" s="279"/>
      <c r="P64" s="279"/>
      <c r="Q64" s="279"/>
      <c r="R64" s="279"/>
      <c r="S64" s="279"/>
      <c r="T64" s="279"/>
      <c r="AE64">
        <v>1</v>
      </c>
      <c r="AF64">
        <v>0</v>
      </c>
      <c r="AH64" s="264">
        <v>1</v>
      </c>
      <c r="AI64">
        <v>1</v>
      </c>
      <c r="AL64" s="105"/>
      <c r="AN64" s="105"/>
      <c r="AO64" s="105"/>
      <c r="AP64" s="105"/>
      <c r="AR64" s="44"/>
      <c r="AT64" s="44"/>
      <c r="AW64" s="31"/>
      <c r="AX64" s="44"/>
      <c r="CH64" t="s">
        <v>285</v>
      </c>
      <c r="CI64" s="126" t="s">
        <v>286</v>
      </c>
      <c r="EU64" s="44"/>
      <c r="EV64" s="44" t="s">
        <v>28</v>
      </c>
      <c r="EW64" s="224" t="str">
        <f>IF(EZ56&gt;0,EZ56,IF(EZ57&gt;0,EU57,IF(EZ58&gt;0,EU58,IF(EZ59&gt;0,EU59,IF(EZ60&gt;0,EU60," ")))))</f>
        <v xml:space="preserve"> </v>
      </c>
      <c r="EX64" s="224" t="e">
        <f>LOOKUP(EW64,$EU$56:$EU$61,$EV$56:$EV$61)</f>
        <v>#N/A</v>
      </c>
      <c r="EY64" s="224" t="e">
        <f>LOOKUP(EW64,$EU$56:$EU$61,$FB$56:$FB$61)</f>
        <v>#N/A</v>
      </c>
      <c r="EZ64" s="224" t="e">
        <f>LOOKUP(EW64,$EU$56:$EU$61,$EY$56:$EY$61)</f>
        <v>#N/A</v>
      </c>
      <c r="FA64" s="259" t="e">
        <f>LOOKUP(EW64,EU56:EU61,FC56:FC61)</f>
        <v>#N/A</v>
      </c>
      <c r="FB64" s="44"/>
      <c r="FC64" s="44"/>
    </row>
    <row r="65" spans="2:159" ht="15.75" customHeight="1" thickBot="1" x14ac:dyDescent="0.25">
      <c r="B65" s="277"/>
      <c r="C65" s="277"/>
      <c r="D65" s="261"/>
      <c r="E65" s="261"/>
      <c r="F65" s="261"/>
      <c r="G65" s="261"/>
      <c r="H65" s="278"/>
      <c r="I65" s="278"/>
      <c r="J65" s="278"/>
      <c r="K65" s="278"/>
      <c r="L65" s="278"/>
      <c r="M65" s="278"/>
      <c r="N65" s="279"/>
      <c r="O65" s="279"/>
      <c r="P65" s="279"/>
      <c r="Q65" s="279"/>
      <c r="R65" s="279"/>
      <c r="S65" s="279"/>
      <c r="T65" s="279"/>
      <c r="AE65">
        <v>2</v>
      </c>
      <c r="AF65">
        <v>0</v>
      </c>
      <c r="AH65" s="264">
        <v>1.01</v>
      </c>
      <c r="AI65">
        <v>1</v>
      </c>
      <c r="AL65" s="105"/>
      <c r="AM65" s="265">
        <f>IF(E48="KEP",0,IF(AN63&lt;1,0,IF(AM63&lt;2,0.5,SUM(AM59:AM62))))</f>
        <v>0</v>
      </c>
      <c r="AN65" s="105"/>
      <c r="AP65" s="31" t="s">
        <v>287</v>
      </c>
      <c r="AS65" s="44"/>
      <c r="AT65" s="44"/>
      <c r="AU65" s="44"/>
      <c r="AV65" s="44"/>
      <c r="AX65" s="44"/>
      <c r="CH65" s="90" t="s">
        <v>17</v>
      </c>
      <c r="EV65" s="44" t="s">
        <v>30</v>
      </c>
      <c r="EW65" s="224" t="str">
        <f>IF(SUM(FA56:FA61)=0," ",SUM(FA56:FA61))</f>
        <v xml:space="preserve"> </v>
      </c>
      <c r="EX65" s="224" t="e">
        <f>LOOKUP(EW65,$EU$56:$EU$61,$EV$56:$EV$61)</f>
        <v>#N/A</v>
      </c>
      <c r="EY65" s="224" t="e">
        <f>LOOKUP(EW65,$EU$56:$EU$61,$FB$56:$FB$61)</f>
        <v>#N/A</v>
      </c>
      <c r="EZ65" s="224" t="e">
        <f>LOOKUP(EW65,$EU$56:$EU$61,$EY$56:$EY$61)</f>
        <v>#N/A</v>
      </c>
      <c r="FA65" s="259" t="e">
        <f>LOOKUP(EW65,EU56:EU61,FD56:FD61)</f>
        <v>#N/A</v>
      </c>
      <c r="FB65" s="44"/>
      <c r="FC65" s="44"/>
    </row>
    <row r="66" spans="2:159" ht="15.75" customHeight="1" x14ac:dyDescent="0.2">
      <c r="B66" s="277"/>
      <c r="C66" s="277"/>
      <c r="D66" s="261"/>
      <c r="E66" s="261"/>
      <c r="F66" s="261"/>
      <c r="G66" s="261"/>
      <c r="H66" s="278"/>
      <c r="I66" s="278"/>
      <c r="J66" s="278"/>
      <c r="K66" s="278"/>
      <c r="L66" s="278"/>
      <c r="M66" s="278"/>
      <c r="N66" s="279"/>
      <c r="O66" s="279"/>
      <c r="P66" s="279"/>
      <c r="Q66" s="279"/>
      <c r="R66" s="279"/>
      <c r="S66" s="279"/>
      <c r="T66" s="279"/>
      <c r="AE66">
        <v>3</v>
      </c>
      <c r="AF66">
        <v>0</v>
      </c>
      <c r="AH66" s="264">
        <v>1.02</v>
      </c>
      <c r="AI66">
        <v>1</v>
      </c>
      <c r="AL66" s="105"/>
      <c r="AM66" s="105"/>
      <c r="AN66" s="105"/>
      <c r="AP66" s="31" t="s">
        <v>288</v>
      </c>
      <c r="AR66" s="31"/>
      <c r="AS66" s="44"/>
      <c r="AT66" s="44"/>
      <c r="AU66" s="44"/>
      <c r="AV66" s="44"/>
      <c r="AW66" s="44"/>
      <c r="AX66" s="44"/>
      <c r="CH66" s="44">
        <v>1</v>
      </c>
      <c r="CI66" t="s">
        <v>289</v>
      </c>
      <c r="EY66" s="224" t="e">
        <f>IF(EY64=EY65,1,0)</f>
        <v>#N/A</v>
      </c>
      <c r="FA66" s="259" t="e">
        <f>FA65-FA64</f>
        <v>#N/A</v>
      </c>
    </row>
    <row r="67" spans="2:159" ht="15.75" customHeight="1" x14ac:dyDescent="0.2">
      <c r="B67" s="277"/>
      <c r="C67" s="277"/>
      <c r="D67" s="261"/>
      <c r="E67" s="261"/>
      <c r="F67" s="261"/>
      <c r="G67" s="261"/>
      <c r="H67" s="278"/>
      <c r="I67" s="278"/>
      <c r="J67" s="278"/>
      <c r="K67" s="278"/>
      <c r="L67" s="278"/>
      <c r="M67" s="278"/>
      <c r="N67" s="279"/>
      <c r="O67" s="279"/>
      <c r="P67" s="279"/>
      <c r="Q67" s="279"/>
      <c r="R67" s="279"/>
      <c r="S67" s="279"/>
      <c r="T67" s="279"/>
      <c r="AE67">
        <v>4</v>
      </c>
      <c r="AF67">
        <v>0</v>
      </c>
      <c r="AH67" s="264">
        <v>1.03</v>
      </c>
      <c r="AI67">
        <v>1</v>
      </c>
      <c r="AV67" s="44"/>
      <c r="AX67" s="44"/>
      <c r="CH67" s="44">
        <v>2</v>
      </c>
      <c r="CI67" t="s">
        <v>290</v>
      </c>
      <c r="FA67" s="224" t="e">
        <f>HOUR(FA66)</f>
        <v>#N/A</v>
      </c>
      <c r="FB67" s="266"/>
    </row>
    <row r="68" spans="2:159" ht="15.75" customHeight="1" x14ac:dyDescent="0.2">
      <c r="B68" s="277"/>
      <c r="C68" s="277"/>
      <c r="D68" s="261"/>
      <c r="E68" s="261"/>
      <c r="F68" s="261"/>
      <c r="G68" s="261"/>
      <c r="H68" s="278"/>
      <c r="I68" s="278"/>
      <c r="J68" s="278"/>
      <c r="K68" s="278"/>
      <c r="L68" s="278"/>
      <c r="M68" s="278"/>
      <c r="N68" s="279"/>
      <c r="O68" s="279"/>
      <c r="P68" s="279"/>
      <c r="Q68" s="279"/>
      <c r="R68" s="279"/>
      <c r="S68" s="279"/>
      <c r="T68" s="279"/>
      <c r="AE68">
        <v>5</v>
      </c>
      <c r="AF68">
        <v>0</v>
      </c>
      <c r="AH68" s="264">
        <v>1.04</v>
      </c>
      <c r="AI68">
        <v>1</v>
      </c>
      <c r="AX68" s="44"/>
      <c r="CH68" s="44">
        <v>3</v>
      </c>
      <c r="CI68" t="s">
        <v>291</v>
      </c>
      <c r="FA68" s="224" t="e">
        <f>MINUTE(FA66)</f>
        <v>#N/A</v>
      </c>
      <c r="FB68" s="266"/>
    </row>
    <row r="69" spans="2:159" ht="15.75" customHeight="1" x14ac:dyDescent="0.2">
      <c r="B69" s="277"/>
      <c r="C69" s="277"/>
      <c r="D69" s="261"/>
      <c r="E69" s="261"/>
      <c r="F69" s="261"/>
      <c r="G69" s="261"/>
      <c r="H69" s="278"/>
      <c r="I69" s="278"/>
      <c r="J69" s="278"/>
      <c r="K69" s="278"/>
      <c r="L69" s="278"/>
      <c r="M69" s="278"/>
      <c r="N69" s="279"/>
      <c r="O69" s="279"/>
      <c r="P69" s="279"/>
      <c r="Q69" s="279"/>
      <c r="R69" s="279"/>
      <c r="S69" s="279"/>
      <c r="T69" s="279"/>
      <c r="AE69">
        <v>6</v>
      </c>
      <c r="AF69">
        <v>0</v>
      </c>
      <c r="AH69" s="264">
        <v>1.05</v>
      </c>
      <c r="AI69">
        <v>1</v>
      </c>
      <c r="AR69" s="31"/>
      <c r="AS69" s="44"/>
      <c r="AT69" s="44"/>
      <c r="AX69" s="44"/>
      <c r="CH69" s="44">
        <v>4</v>
      </c>
      <c r="CI69" t="s">
        <v>292</v>
      </c>
      <c r="FA69" s="224" t="e">
        <f>(FA67*60)+FA68</f>
        <v>#N/A</v>
      </c>
      <c r="FB69" t="s">
        <v>293</v>
      </c>
    </row>
    <row r="70" spans="2:159" ht="15.75" customHeight="1" x14ac:dyDescent="0.2">
      <c r="B70" s="277"/>
      <c r="C70" s="277"/>
      <c r="D70" s="261"/>
      <c r="E70" s="261"/>
      <c r="F70" s="261"/>
      <c r="G70" s="261"/>
      <c r="H70" s="278"/>
      <c r="I70" s="278"/>
      <c r="J70" s="278"/>
      <c r="K70" s="278"/>
      <c r="L70" s="278"/>
      <c r="M70" s="278"/>
      <c r="N70" s="279"/>
      <c r="O70" s="279"/>
      <c r="P70" s="279"/>
      <c r="Q70" s="279"/>
      <c r="R70" s="279"/>
      <c r="S70" s="279"/>
      <c r="T70" s="279"/>
      <c r="AE70">
        <v>7</v>
      </c>
      <c r="AF70">
        <v>0</v>
      </c>
      <c r="AH70" s="264">
        <v>1.06</v>
      </c>
      <c r="AI70">
        <v>1</v>
      </c>
      <c r="AR70" s="31"/>
      <c r="AS70" s="44"/>
      <c r="AT70" s="44"/>
      <c r="CH70" s="44">
        <v>5</v>
      </c>
      <c r="CI70" s="61" t="s">
        <v>5</v>
      </c>
      <c r="FA70" s="224" t="e">
        <f>IF(FA69&gt;180,0,1)</f>
        <v>#N/A</v>
      </c>
    </row>
    <row r="71" spans="2:159" ht="12.75" customHeight="1" x14ac:dyDescent="0.2">
      <c r="AE71">
        <v>8</v>
      </c>
      <c r="AF71">
        <v>0</v>
      </c>
      <c r="AH71" s="264">
        <v>1.07</v>
      </c>
      <c r="AI71">
        <v>1</v>
      </c>
      <c r="AT71" s="44"/>
      <c r="CH71" s="44">
        <v>6</v>
      </c>
      <c r="CI71" t="s">
        <v>294</v>
      </c>
    </row>
    <row r="72" spans="2:159" ht="12.75" customHeight="1" x14ac:dyDescent="0.2">
      <c r="AE72">
        <v>9</v>
      </c>
      <c r="AF72">
        <v>1</v>
      </c>
      <c r="AH72" s="264">
        <v>1.08</v>
      </c>
      <c r="AI72">
        <v>1</v>
      </c>
      <c r="AX72" s="239"/>
      <c r="CH72" s="44"/>
      <c r="EW72" s="19" t="s">
        <v>295</v>
      </c>
    </row>
    <row r="73" spans="2:159" ht="12.75" customHeight="1" x14ac:dyDescent="0.2">
      <c r="AE73">
        <v>10</v>
      </c>
      <c r="AF73">
        <v>1</v>
      </c>
      <c r="AH73" s="264">
        <v>1.0900000000000001</v>
      </c>
      <c r="AI73">
        <v>1</v>
      </c>
      <c r="AS73" s="31"/>
      <c r="AT73" s="44"/>
      <c r="CH73" t="s">
        <v>296</v>
      </c>
      <c r="CI73" s="126" t="s">
        <v>297</v>
      </c>
      <c r="EW73" s="44" t="s">
        <v>298</v>
      </c>
      <c r="EX73" s="44" t="s">
        <v>299</v>
      </c>
      <c r="EY73" s="44"/>
    </row>
    <row r="74" spans="2:159" ht="12.75" customHeight="1" x14ac:dyDescent="0.2">
      <c r="AE74">
        <v>11</v>
      </c>
      <c r="AF74">
        <v>1</v>
      </c>
      <c r="AH74" s="264">
        <v>1.1000000000000001</v>
      </c>
      <c r="AI74">
        <v>1</v>
      </c>
      <c r="AS74" s="31"/>
      <c r="AT74" s="44"/>
      <c r="AX74" s="239"/>
      <c r="CH74" s="90" t="s">
        <v>17</v>
      </c>
      <c r="EW74" s="224">
        <v>1</v>
      </c>
      <c r="EX74" s="259">
        <f t="shared" ref="EX74:EX79" si="32">BF20</f>
        <v>0</v>
      </c>
      <c r="EY74" s="224">
        <f t="shared" ref="EY74:EY79" si="33">IF(EX74=" ",0,1)</f>
        <v>1</v>
      </c>
      <c r="EZ74" s="224">
        <f t="shared" ref="EZ74:EZ79" si="34">IF(AND(EY74&gt;0,EY75=0),EX74,0)</f>
        <v>0</v>
      </c>
      <c r="FA74" s="44"/>
    </row>
    <row r="75" spans="2:159" ht="12.75" customHeight="1" x14ac:dyDescent="0.2">
      <c r="AE75">
        <v>12</v>
      </c>
      <c r="AF75">
        <v>1</v>
      </c>
      <c r="AH75" s="264">
        <v>1.1100000000000001</v>
      </c>
      <c r="AI75">
        <v>1</v>
      </c>
      <c r="AS75" s="31"/>
      <c r="AT75" s="44"/>
      <c r="AU75" s="44"/>
      <c r="AX75" s="250"/>
      <c r="CH75" s="44">
        <v>1</v>
      </c>
      <c r="CI75" t="s">
        <v>300</v>
      </c>
      <c r="EW75" s="224">
        <v>2</v>
      </c>
      <c r="EX75" s="259">
        <f t="shared" si="32"/>
        <v>0</v>
      </c>
      <c r="EY75" s="224">
        <f t="shared" si="33"/>
        <v>1</v>
      </c>
      <c r="EZ75" s="224">
        <f t="shared" si="34"/>
        <v>0</v>
      </c>
      <c r="FA75" s="44"/>
    </row>
    <row r="76" spans="2:159" x14ac:dyDescent="0.2">
      <c r="AE76">
        <v>13</v>
      </c>
      <c r="AF76">
        <v>1</v>
      </c>
      <c r="AH76" s="264">
        <v>1.1200000000000001</v>
      </c>
      <c r="AI76">
        <v>1</v>
      </c>
      <c r="CH76" s="44">
        <v>2</v>
      </c>
      <c r="CI76" t="s">
        <v>301</v>
      </c>
      <c r="EW76" s="224">
        <v>3</v>
      </c>
      <c r="EX76" s="259">
        <f t="shared" si="32"/>
        <v>0</v>
      </c>
      <c r="EY76" s="224">
        <f t="shared" si="33"/>
        <v>1</v>
      </c>
      <c r="EZ76" s="224">
        <f t="shared" si="34"/>
        <v>0</v>
      </c>
      <c r="FA76" s="44"/>
    </row>
    <row r="77" spans="2:159" x14ac:dyDescent="0.2">
      <c r="AE77" s="23">
        <v>14</v>
      </c>
      <c r="AF77">
        <v>1</v>
      </c>
      <c r="AH77" s="264">
        <v>1.1300000000000001</v>
      </c>
      <c r="AI77">
        <v>1</v>
      </c>
      <c r="CH77" s="44">
        <v>3</v>
      </c>
      <c r="CI77" s="61" t="s">
        <v>5</v>
      </c>
      <c r="EW77" s="224">
        <v>4</v>
      </c>
      <c r="EX77" s="259">
        <f t="shared" si="32"/>
        <v>0</v>
      </c>
      <c r="EY77" s="224">
        <f t="shared" si="33"/>
        <v>1</v>
      </c>
      <c r="EZ77" s="224">
        <f t="shared" si="34"/>
        <v>0</v>
      </c>
      <c r="FA77" s="44"/>
    </row>
    <row r="78" spans="2:159" ht="28" x14ac:dyDescent="0.4">
      <c r="AE78">
        <v>15</v>
      </c>
      <c r="AF78">
        <v>1</v>
      </c>
      <c r="AH78" s="264">
        <v>1.1399999999999999</v>
      </c>
      <c r="AI78">
        <v>1</v>
      </c>
      <c r="AS78" s="267"/>
      <c r="AX78" s="255"/>
      <c r="CH78" s="44">
        <v>4</v>
      </c>
      <c r="CI78" t="s">
        <v>302</v>
      </c>
      <c r="EW78" s="224">
        <v>5</v>
      </c>
      <c r="EX78" s="259">
        <f t="shared" si="32"/>
        <v>0</v>
      </c>
      <c r="EY78" s="224">
        <f t="shared" si="33"/>
        <v>1</v>
      </c>
      <c r="EZ78" s="224">
        <f t="shared" si="34"/>
        <v>0</v>
      </c>
      <c r="FA78" s="44"/>
    </row>
    <row r="79" spans="2:159" ht="13.5" customHeight="1" x14ac:dyDescent="0.2">
      <c r="AE79" s="23">
        <v>16</v>
      </c>
      <c r="AF79">
        <v>1</v>
      </c>
      <c r="AH79" s="264">
        <v>1.1499999999999999</v>
      </c>
      <c r="AI79">
        <v>1</v>
      </c>
      <c r="AS79" s="44"/>
      <c r="AT79" s="44"/>
      <c r="CH79" s="44">
        <v>5</v>
      </c>
      <c r="CI79" s="61" t="s">
        <v>5</v>
      </c>
      <c r="EW79" s="224">
        <v>6</v>
      </c>
      <c r="EX79" s="259">
        <f t="shared" si="32"/>
        <v>0</v>
      </c>
      <c r="EY79" s="224">
        <f t="shared" si="33"/>
        <v>1</v>
      </c>
      <c r="EZ79" s="224">
        <f t="shared" si="34"/>
        <v>0</v>
      </c>
      <c r="FA79" s="44"/>
    </row>
    <row r="80" spans="2:159" ht="12.75" customHeight="1" x14ac:dyDescent="0.2">
      <c r="AE80">
        <v>17</v>
      </c>
      <c r="AF80">
        <v>1</v>
      </c>
      <c r="AH80" s="264">
        <v>1.1599999999999999</v>
      </c>
      <c r="AI80">
        <v>1</v>
      </c>
      <c r="AS80" s="44"/>
      <c r="AT80" s="44"/>
      <c r="CH80" s="44">
        <v>6</v>
      </c>
      <c r="CI80" t="s">
        <v>303</v>
      </c>
      <c r="CT80" s="6" t="s">
        <v>304</v>
      </c>
      <c r="EW80" s="44"/>
      <c r="EX80" s="44"/>
      <c r="EY80" s="44"/>
      <c r="EZ80" s="259">
        <f>SUM(EZ74:EZ79)</f>
        <v>0</v>
      </c>
      <c r="FA80" s="44"/>
    </row>
    <row r="81" spans="31:157" ht="12.75" customHeight="1" x14ac:dyDescent="0.2">
      <c r="AE81" s="23">
        <v>18</v>
      </c>
      <c r="AF81">
        <v>1</v>
      </c>
      <c r="AH81" s="264">
        <v>1.17</v>
      </c>
      <c r="AI81">
        <v>1</v>
      </c>
      <c r="AS81" s="44"/>
      <c r="AT81" s="44"/>
      <c r="EW81" s="31" t="s">
        <v>305</v>
      </c>
      <c r="EX81" s="268">
        <f>AO19</f>
        <v>0</v>
      </c>
      <c r="EY81" s="44"/>
      <c r="EZ81" s="44"/>
      <c r="FA81" s="44"/>
    </row>
    <row r="82" spans="31:157" ht="12.75" customHeight="1" x14ac:dyDescent="0.2">
      <c r="AE82">
        <v>19</v>
      </c>
      <c r="AF82">
        <v>2</v>
      </c>
      <c r="AH82" s="264">
        <v>1.18</v>
      </c>
      <c r="AI82">
        <v>1</v>
      </c>
      <c r="AS82" s="44"/>
      <c r="AT82" s="44"/>
      <c r="CH82" t="s">
        <v>306</v>
      </c>
      <c r="CI82" s="126" t="s">
        <v>307</v>
      </c>
      <c r="CT82" t="s">
        <v>308</v>
      </c>
      <c r="CU82" t="s">
        <v>309</v>
      </c>
      <c r="EX82" s="224">
        <f>IF(EZ80&gt;EX81,1,0)</f>
        <v>0</v>
      </c>
      <c r="EY82" t="s">
        <v>310</v>
      </c>
      <c r="EZ82" t="s">
        <v>311</v>
      </c>
    </row>
    <row r="83" spans="31:157" ht="12.75" customHeight="1" x14ac:dyDescent="0.2">
      <c r="AE83" s="23">
        <v>20</v>
      </c>
      <c r="AF83">
        <v>2</v>
      </c>
      <c r="AH83" s="264">
        <v>1.19</v>
      </c>
      <c r="AI83">
        <v>1</v>
      </c>
      <c r="AS83" s="44"/>
      <c r="AT83" s="44"/>
      <c r="CH83" s="90" t="s">
        <v>17</v>
      </c>
      <c r="CT83" s="44">
        <v>1</v>
      </c>
      <c r="CU83" s="44" t="e">
        <f>#REF!</f>
        <v>#REF!</v>
      </c>
    </row>
    <row r="84" spans="31:157" ht="12.75" customHeight="1" x14ac:dyDescent="0.2">
      <c r="AE84">
        <v>21</v>
      </c>
      <c r="AF84">
        <v>2</v>
      </c>
      <c r="AH84" s="264">
        <v>1.2</v>
      </c>
      <c r="AI84">
        <v>1</v>
      </c>
      <c r="AS84" s="44"/>
      <c r="AT84" s="44"/>
      <c r="CH84" s="44">
        <v>1</v>
      </c>
      <c r="CI84" t="s">
        <v>312</v>
      </c>
      <c r="CT84" s="44">
        <v>2</v>
      </c>
      <c r="CU84" s="44" t="e">
        <f>#REF!</f>
        <v>#REF!</v>
      </c>
      <c r="EW84" s="19"/>
    </row>
    <row r="85" spans="31:157" ht="12.75" customHeight="1" x14ac:dyDescent="0.2">
      <c r="AE85" s="23">
        <v>22</v>
      </c>
      <c r="AF85">
        <v>2</v>
      </c>
      <c r="AH85" s="264">
        <v>1.21</v>
      </c>
      <c r="AI85">
        <v>1</v>
      </c>
      <c r="AS85" s="44"/>
      <c r="AT85" s="44"/>
      <c r="CH85" s="44">
        <v>2</v>
      </c>
      <c r="CI85" t="s">
        <v>313</v>
      </c>
      <c r="CT85" s="44">
        <v>3</v>
      </c>
      <c r="CU85" s="44" t="e">
        <f>#REF!</f>
        <v>#REF!</v>
      </c>
    </row>
    <row r="86" spans="31:157" ht="12.75" customHeight="1" x14ac:dyDescent="0.2">
      <c r="AE86" s="23">
        <v>23</v>
      </c>
      <c r="AF86">
        <v>2</v>
      </c>
      <c r="AH86" s="264">
        <v>1.2200000000000002</v>
      </c>
      <c r="AI86">
        <v>1</v>
      </c>
      <c r="CH86" s="44">
        <v>3</v>
      </c>
      <c r="CI86" s="61" t="s">
        <v>5</v>
      </c>
      <c r="CT86" s="44">
        <v>4</v>
      </c>
      <c r="CU86" s="44" t="e">
        <f>#REF!</f>
        <v>#REF!</v>
      </c>
    </row>
    <row r="87" spans="31:157" ht="12.75" customHeight="1" x14ac:dyDescent="0.2">
      <c r="AE87" s="23">
        <v>24</v>
      </c>
      <c r="AF87">
        <v>2</v>
      </c>
      <c r="AH87" s="264">
        <v>1.2300000000000002</v>
      </c>
      <c r="AI87">
        <v>1</v>
      </c>
      <c r="CH87" s="44">
        <v>4</v>
      </c>
      <c r="CI87" t="s">
        <v>314</v>
      </c>
      <c r="CT87" s="44">
        <v>5</v>
      </c>
      <c r="CU87" s="44" t="e">
        <f>#REF!</f>
        <v>#REF!</v>
      </c>
    </row>
    <row r="88" spans="31:157" ht="12.75" customHeight="1" x14ac:dyDescent="0.2">
      <c r="AE88" s="23">
        <v>25</v>
      </c>
      <c r="AF88">
        <v>2</v>
      </c>
      <c r="AH88" s="264">
        <v>1.2400000000000002</v>
      </c>
      <c r="AI88">
        <v>1</v>
      </c>
      <c r="CH88" s="44">
        <v>5</v>
      </c>
      <c r="CI88" s="61" t="s">
        <v>5</v>
      </c>
      <c r="CT88" s="44">
        <v>6</v>
      </c>
      <c r="CU88" s="44" t="e">
        <f>#REF!</f>
        <v>#REF!</v>
      </c>
    </row>
    <row r="89" spans="31:157" ht="12.75" customHeight="1" x14ac:dyDescent="0.2">
      <c r="AE89" s="23">
        <v>26</v>
      </c>
      <c r="AF89">
        <v>2</v>
      </c>
      <c r="AH89" s="264">
        <v>1.2500000000000002</v>
      </c>
      <c r="AI89">
        <v>1</v>
      </c>
      <c r="CH89" s="44">
        <v>6</v>
      </c>
      <c r="CI89" t="s">
        <v>315</v>
      </c>
      <c r="CT89" s="44">
        <v>7</v>
      </c>
      <c r="CU89" s="44" t="e">
        <f>#REF!</f>
        <v>#REF!</v>
      </c>
    </row>
    <row r="90" spans="31:157" ht="12.75" customHeight="1" x14ac:dyDescent="0.2">
      <c r="AE90" s="23">
        <v>27</v>
      </c>
      <c r="AF90">
        <v>3</v>
      </c>
      <c r="AH90" s="264">
        <v>1.2600000000000002</v>
      </c>
      <c r="AI90">
        <v>1</v>
      </c>
      <c r="CT90" s="44">
        <v>8</v>
      </c>
      <c r="CU90" s="44" t="e">
        <f>#REF!</f>
        <v>#REF!</v>
      </c>
    </row>
    <row r="91" spans="31:157" ht="12.75" customHeight="1" x14ac:dyDescent="0.2">
      <c r="AE91" s="23">
        <v>28</v>
      </c>
      <c r="AF91">
        <v>3</v>
      </c>
      <c r="AH91" s="264">
        <v>1.2700000000000002</v>
      </c>
      <c r="AI91">
        <v>1</v>
      </c>
      <c r="CT91" s="44">
        <v>9</v>
      </c>
      <c r="CU91" s="44" t="e">
        <f>#REF!</f>
        <v>#REF!</v>
      </c>
    </row>
    <row r="92" spans="31:157" x14ac:dyDescent="0.2">
      <c r="AE92" s="23">
        <v>29</v>
      </c>
      <c r="AF92">
        <v>3</v>
      </c>
      <c r="AH92" s="264">
        <v>1.2800000000000002</v>
      </c>
      <c r="AI92">
        <v>1</v>
      </c>
      <c r="CT92" s="44">
        <v>10</v>
      </c>
      <c r="CU92" s="44" t="e">
        <f>#REF!</f>
        <v>#REF!</v>
      </c>
    </row>
    <row r="93" spans="31:157" ht="15" customHeight="1" x14ac:dyDescent="0.2">
      <c r="AE93" s="23">
        <v>30</v>
      </c>
      <c r="AF93">
        <v>3</v>
      </c>
      <c r="AH93" s="264">
        <v>1.2900000000000003</v>
      </c>
      <c r="AI93">
        <v>1</v>
      </c>
      <c r="CT93" s="44">
        <v>11</v>
      </c>
      <c r="CU93" s="44" t="e">
        <f>#REF!</f>
        <v>#REF!</v>
      </c>
    </row>
    <row r="94" spans="31:157" x14ac:dyDescent="0.2">
      <c r="AE94" s="23">
        <v>31</v>
      </c>
      <c r="AF94">
        <v>3</v>
      </c>
      <c r="AH94" s="264">
        <v>1.3000000000000003</v>
      </c>
      <c r="AI94">
        <v>1</v>
      </c>
      <c r="CT94" s="44">
        <v>12</v>
      </c>
      <c r="CU94" s="44" t="e">
        <f>#REF!</f>
        <v>#REF!</v>
      </c>
    </row>
    <row r="95" spans="31:157" x14ac:dyDescent="0.2">
      <c r="AE95" s="23">
        <v>32</v>
      </c>
      <c r="AF95">
        <v>3</v>
      </c>
      <c r="AH95" s="264">
        <v>1.3100000000000003</v>
      </c>
      <c r="AI95">
        <v>1</v>
      </c>
      <c r="CT95" s="44">
        <v>13</v>
      </c>
      <c r="CU95" s="44" t="e">
        <f>#REF!</f>
        <v>#REF!</v>
      </c>
    </row>
    <row r="96" spans="31:157" ht="13.5" customHeight="1" x14ac:dyDescent="0.2">
      <c r="AE96" s="23">
        <v>33</v>
      </c>
      <c r="AF96">
        <v>3</v>
      </c>
      <c r="AH96" s="264">
        <v>1.3200000000000003</v>
      </c>
      <c r="AI96">
        <v>1</v>
      </c>
      <c r="CT96" s="44">
        <v>14</v>
      </c>
      <c r="CU96" s="44" t="e">
        <f>#REF!</f>
        <v>#REF!</v>
      </c>
    </row>
    <row r="97" spans="31:99" x14ac:dyDescent="0.2">
      <c r="AE97" s="23">
        <v>34</v>
      </c>
      <c r="AF97">
        <v>3</v>
      </c>
      <c r="AH97" s="264">
        <v>1.3300000000000003</v>
      </c>
      <c r="AI97">
        <v>1</v>
      </c>
      <c r="CT97" s="44">
        <v>15</v>
      </c>
      <c r="CU97" s="44" t="e">
        <f>#REF!</f>
        <v>#REF!</v>
      </c>
    </row>
    <row r="98" spans="31:99" ht="13.5" customHeight="1" x14ac:dyDescent="0.2">
      <c r="AE98" s="23">
        <v>35</v>
      </c>
      <c r="AF98">
        <v>3</v>
      </c>
      <c r="AH98" s="264">
        <v>1.3400000000000003</v>
      </c>
      <c r="AI98">
        <v>1</v>
      </c>
      <c r="CT98" s="44">
        <v>16</v>
      </c>
      <c r="CU98" s="44" t="e">
        <f>#REF!</f>
        <v>#REF!</v>
      </c>
    </row>
    <row r="99" spans="31:99" ht="12.75" customHeight="1" x14ac:dyDescent="0.2">
      <c r="AE99" s="23">
        <v>36</v>
      </c>
      <c r="AF99">
        <v>4</v>
      </c>
      <c r="AH99" s="264">
        <v>1.3500000000000003</v>
      </c>
      <c r="AI99">
        <v>1</v>
      </c>
      <c r="CT99" s="44">
        <v>17</v>
      </c>
      <c r="CU99" s="44" t="e">
        <f>#REF!</f>
        <v>#REF!</v>
      </c>
    </row>
    <row r="100" spans="31:99" ht="24.75" customHeight="1" x14ac:dyDescent="0.2">
      <c r="AE100" s="23">
        <v>37</v>
      </c>
      <c r="AF100">
        <v>4</v>
      </c>
      <c r="AH100" s="264">
        <v>1.3600000000000003</v>
      </c>
      <c r="AI100">
        <v>1</v>
      </c>
      <c r="CT100" s="44">
        <v>18</v>
      </c>
      <c r="CU100" s="44" t="e">
        <f>#REF!</f>
        <v>#REF!</v>
      </c>
    </row>
    <row r="101" spans="31:99" ht="19.5" customHeight="1" x14ac:dyDescent="0.2">
      <c r="AE101" s="23">
        <v>38</v>
      </c>
      <c r="AF101">
        <v>4</v>
      </c>
      <c r="AH101" s="264">
        <v>1.3700000000000003</v>
      </c>
      <c r="AI101">
        <v>1</v>
      </c>
      <c r="CT101" s="44">
        <v>19</v>
      </c>
      <c r="CU101" s="44" t="e">
        <f>#REF!</f>
        <v>#REF!</v>
      </c>
    </row>
    <row r="102" spans="31:99" x14ac:dyDescent="0.2">
      <c r="AE102" s="23">
        <v>39</v>
      </c>
      <c r="AF102">
        <v>4</v>
      </c>
      <c r="AH102" s="264">
        <v>1.3800000000000003</v>
      </c>
      <c r="AI102">
        <v>1</v>
      </c>
      <c r="CT102" s="44">
        <v>20</v>
      </c>
      <c r="CU102" s="44" t="e">
        <f>#REF!</f>
        <v>#REF!</v>
      </c>
    </row>
    <row r="103" spans="31:99" x14ac:dyDescent="0.2">
      <c r="AE103" s="23">
        <v>40</v>
      </c>
      <c r="AF103">
        <v>4</v>
      </c>
      <c r="AH103" s="264">
        <v>1.3900000000000003</v>
      </c>
      <c r="AI103">
        <v>1</v>
      </c>
      <c r="CT103" s="44">
        <v>21</v>
      </c>
      <c r="CU103" s="44" t="e">
        <f>#REF!</f>
        <v>#REF!</v>
      </c>
    </row>
    <row r="104" spans="31:99" x14ac:dyDescent="0.2">
      <c r="AE104" s="23">
        <v>41</v>
      </c>
      <c r="AF104">
        <v>5</v>
      </c>
      <c r="AH104" s="264">
        <v>1.4000000000000004</v>
      </c>
      <c r="AI104">
        <v>1</v>
      </c>
      <c r="CT104" s="44">
        <v>22</v>
      </c>
      <c r="CU104" s="44" t="e">
        <f>#REF!</f>
        <v>#REF!</v>
      </c>
    </row>
    <row r="105" spans="31:99" x14ac:dyDescent="0.2">
      <c r="AE105" s="23">
        <v>42</v>
      </c>
      <c r="AF105">
        <v>5</v>
      </c>
      <c r="AH105" s="264">
        <v>1.4100000000000004</v>
      </c>
      <c r="AI105">
        <v>1</v>
      </c>
      <c r="CT105" s="44">
        <v>23</v>
      </c>
      <c r="CU105" s="44" t="e">
        <f>#REF!</f>
        <v>#REF!</v>
      </c>
    </row>
    <row r="106" spans="31:99" x14ac:dyDescent="0.2">
      <c r="AE106" s="23">
        <v>43</v>
      </c>
      <c r="AF106">
        <v>5</v>
      </c>
      <c r="AH106" s="264">
        <v>1.4200000000000004</v>
      </c>
      <c r="AI106">
        <v>1</v>
      </c>
      <c r="CT106" s="44">
        <v>24</v>
      </c>
      <c r="CU106" s="44" t="e">
        <f>#REF!</f>
        <v>#REF!</v>
      </c>
    </row>
    <row r="107" spans="31:99" x14ac:dyDescent="0.2">
      <c r="AE107" s="23">
        <v>44</v>
      </c>
      <c r="AF107">
        <v>5</v>
      </c>
      <c r="AH107" s="264">
        <v>1.4300000000000004</v>
      </c>
      <c r="AI107">
        <v>1</v>
      </c>
      <c r="CT107" s="44">
        <v>25</v>
      </c>
      <c r="CU107" s="44" t="e">
        <f>#REF!</f>
        <v>#REF!</v>
      </c>
    </row>
    <row r="108" spans="31:99" x14ac:dyDescent="0.2">
      <c r="AE108" s="23">
        <v>45</v>
      </c>
      <c r="AF108">
        <v>6</v>
      </c>
      <c r="AH108" s="264">
        <v>1.4400000000000004</v>
      </c>
      <c r="AI108">
        <v>1</v>
      </c>
    </row>
    <row r="109" spans="31:99" x14ac:dyDescent="0.2">
      <c r="AE109" s="23">
        <v>46</v>
      </c>
      <c r="AF109">
        <v>6</v>
      </c>
      <c r="AH109" s="264">
        <v>1.4500000000000004</v>
      </c>
      <c r="AI109">
        <v>1</v>
      </c>
    </row>
    <row r="110" spans="31:99" x14ac:dyDescent="0.2">
      <c r="AE110" s="23">
        <v>47</v>
      </c>
      <c r="AF110">
        <v>6</v>
      </c>
      <c r="AH110" s="264">
        <v>1.4600000000000004</v>
      </c>
      <c r="AI110">
        <v>1</v>
      </c>
    </row>
    <row r="111" spans="31:99" x14ac:dyDescent="0.2">
      <c r="AE111" s="23">
        <v>48</v>
      </c>
      <c r="AF111">
        <v>6</v>
      </c>
      <c r="AH111" s="264">
        <v>1.4700000000000004</v>
      </c>
      <c r="AI111">
        <v>1</v>
      </c>
    </row>
    <row r="112" spans="31:99" x14ac:dyDescent="0.2">
      <c r="AE112" s="23">
        <v>49</v>
      </c>
      <c r="AF112">
        <v>6</v>
      </c>
      <c r="AH112" s="264">
        <v>1.4800000000000004</v>
      </c>
      <c r="AI112">
        <v>1</v>
      </c>
    </row>
    <row r="113" spans="31:35" x14ac:dyDescent="0.2">
      <c r="AE113" s="23">
        <v>50</v>
      </c>
      <c r="AF113">
        <v>6</v>
      </c>
      <c r="AH113" s="264">
        <v>1.4900000000000004</v>
      </c>
      <c r="AI113">
        <v>1</v>
      </c>
    </row>
    <row r="114" spans="31:35" x14ac:dyDescent="0.2">
      <c r="AE114" s="23">
        <v>51</v>
      </c>
      <c r="AF114">
        <v>6</v>
      </c>
      <c r="AH114" s="264">
        <v>1.5000000000000004</v>
      </c>
      <c r="AI114">
        <v>1</v>
      </c>
    </row>
    <row r="115" spans="31:35" x14ac:dyDescent="0.2">
      <c r="AE115" s="23">
        <v>52</v>
      </c>
      <c r="AF115">
        <v>6</v>
      </c>
      <c r="AH115" s="264">
        <v>1.5100000000000005</v>
      </c>
      <c r="AI115">
        <v>1</v>
      </c>
    </row>
    <row r="116" spans="31:35" x14ac:dyDescent="0.2">
      <c r="AE116" s="23">
        <v>53</v>
      </c>
      <c r="AF116">
        <v>6</v>
      </c>
      <c r="AH116" s="264">
        <v>1.5200000000000005</v>
      </c>
      <c r="AI116">
        <v>1</v>
      </c>
    </row>
    <row r="117" spans="31:35" x14ac:dyDescent="0.2">
      <c r="AE117" s="23">
        <v>54</v>
      </c>
      <c r="AF117">
        <v>6</v>
      </c>
      <c r="AH117" s="264">
        <v>1.5300000000000005</v>
      </c>
      <c r="AI117">
        <v>1</v>
      </c>
    </row>
    <row r="118" spans="31:35" x14ac:dyDescent="0.2">
      <c r="AH118" s="264">
        <v>1.5400000000000005</v>
      </c>
      <c r="AI118">
        <v>1</v>
      </c>
    </row>
    <row r="119" spans="31:35" x14ac:dyDescent="0.2">
      <c r="AH119" s="269">
        <v>1.5500000000000005</v>
      </c>
      <c r="AI119">
        <v>1</v>
      </c>
    </row>
    <row r="120" spans="31:35" x14ac:dyDescent="0.2">
      <c r="AH120" s="269">
        <v>1.5600000000000005</v>
      </c>
      <c r="AI120">
        <v>1</v>
      </c>
    </row>
    <row r="121" spans="31:35" x14ac:dyDescent="0.2">
      <c r="AH121" s="269">
        <v>1.5700000000000005</v>
      </c>
      <c r="AI121">
        <v>1</v>
      </c>
    </row>
    <row r="122" spans="31:35" x14ac:dyDescent="0.2">
      <c r="AH122" s="269">
        <v>1.5800000000000005</v>
      </c>
      <c r="AI122">
        <v>1</v>
      </c>
    </row>
    <row r="123" spans="31:35" x14ac:dyDescent="0.2">
      <c r="AH123" s="269">
        <v>1.5900000000000005</v>
      </c>
      <c r="AI123">
        <v>1</v>
      </c>
    </row>
    <row r="124" spans="31:35" x14ac:dyDescent="0.2">
      <c r="AH124" s="269">
        <v>1.6000000000000005</v>
      </c>
      <c r="AI124">
        <v>1</v>
      </c>
    </row>
    <row r="125" spans="31:35" x14ac:dyDescent="0.2">
      <c r="AH125" s="269">
        <v>1.6100000000000005</v>
      </c>
      <c r="AI125">
        <v>1</v>
      </c>
    </row>
    <row r="126" spans="31:35" x14ac:dyDescent="0.2">
      <c r="AH126" s="269">
        <v>1.6200000000000006</v>
      </c>
      <c r="AI126">
        <v>1</v>
      </c>
    </row>
    <row r="127" spans="31:35" x14ac:dyDescent="0.2">
      <c r="AH127" s="269">
        <v>1.6300000000000006</v>
      </c>
      <c r="AI127">
        <v>1</v>
      </c>
    </row>
    <row r="128" spans="31:35" x14ac:dyDescent="0.2">
      <c r="AH128" s="269">
        <v>1.6400000000000006</v>
      </c>
      <c r="AI128">
        <v>1</v>
      </c>
    </row>
    <row r="129" spans="34:35" x14ac:dyDescent="0.2">
      <c r="AH129" s="269">
        <v>1.6500000000000006</v>
      </c>
      <c r="AI129">
        <v>1</v>
      </c>
    </row>
    <row r="130" spans="34:35" x14ac:dyDescent="0.2">
      <c r="AH130" s="269">
        <v>1.6600000000000006</v>
      </c>
      <c r="AI130">
        <v>1</v>
      </c>
    </row>
    <row r="131" spans="34:35" x14ac:dyDescent="0.2">
      <c r="AH131" s="269">
        <v>1.6700000000000006</v>
      </c>
      <c r="AI131">
        <v>1</v>
      </c>
    </row>
    <row r="132" spans="34:35" x14ac:dyDescent="0.2">
      <c r="AH132" s="269">
        <v>1.6800000000000006</v>
      </c>
      <c r="AI132">
        <v>1</v>
      </c>
    </row>
    <row r="133" spans="34:35" x14ac:dyDescent="0.2">
      <c r="AH133" s="269">
        <v>1.6900000000000006</v>
      </c>
      <c r="AI133">
        <v>1</v>
      </c>
    </row>
    <row r="134" spans="34:35" x14ac:dyDescent="0.2">
      <c r="AH134" s="269">
        <v>1.7000000000000006</v>
      </c>
      <c r="AI134">
        <v>1</v>
      </c>
    </row>
    <row r="135" spans="34:35" x14ac:dyDescent="0.2">
      <c r="AH135" s="269">
        <v>1.7100000000000006</v>
      </c>
      <c r="AI135">
        <v>1</v>
      </c>
    </row>
    <row r="136" spans="34:35" x14ac:dyDescent="0.2">
      <c r="AH136" s="269">
        <v>1.7200000000000006</v>
      </c>
      <c r="AI136">
        <v>1</v>
      </c>
    </row>
    <row r="137" spans="34:35" x14ac:dyDescent="0.2">
      <c r="AH137" s="269">
        <v>1.7300000000000006</v>
      </c>
      <c r="AI137">
        <v>1</v>
      </c>
    </row>
    <row r="138" spans="34:35" x14ac:dyDescent="0.2">
      <c r="AH138" s="269">
        <v>1.7400000000000007</v>
      </c>
      <c r="AI138">
        <v>1</v>
      </c>
    </row>
    <row r="139" spans="34:35" x14ac:dyDescent="0.2">
      <c r="AH139" s="269">
        <v>1.7500000000000007</v>
      </c>
      <c r="AI139">
        <v>1</v>
      </c>
    </row>
    <row r="140" spans="34:35" x14ac:dyDescent="0.2">
      <c r="AH140" s="269">
        <v>1.7600000000000007</v>
      </c>
      <c r="AI140">
        <v>1</v>
      </c>
    </row>
    <row r="141" spans="34:35" x14ac:dyDescent="0.2">
      <c r="AH141" s="269">
        <v>1.7700000000000007</v>
      </c>
      <c r="AI141">
        <v>1</v>
      </c>
    </row>
    <row r="142" spans="34:35" x14ac:dyDescent="0.2">
      <c r="AH142" s="269">
        <v>1.7800000000000007</v>
      </c>
      <c r="AI142">
        <v>1</v>
      </c>
    </row>
    <row r="143" spans="34:35" x14ac:dyDescent="0.2">
      <c r="AH143" s="269">
        <v>1.7900000000000007</v>
      </c>
      <c r="AI143">
        <v>1</v>
      </c>
    </row>
    <row r="144" spans="34:35" x14ac:dyDescent="0.2">
      <c r="AH144" s="269">
        <v>1.8000000000000007</v>
      </c>
      <c r="AI144">
        <v>1</v>
      </c>
    </row>
    <row r="145" spans="34:35" x14ac:dyDescent="0.2">
      <c r="AH145" s="269">
        <v>1.8100000000000007</v>
      </c>
      <c r="AI145">
        <v>1</v>
      </c>
    </row>
    <row r="146" spans="34:35" x14ac:dyDescent="0.2">
      <c r="AH146" s="269">
        <v>1.8200000000000007</v>
      </c>
      <c r="AI146">
        <v>1</v>
      </c>
    </row>
    <row r="147" spans="34:35" x14ac:dyDescent="0.2">
      <c r="AH147" s="269">
        <v>1.8300000000000007</v>
      </c>
      <c r="AI147">
        <v>1</v>
      </c>
    </row>
    <row r="148" spans="34:35" x14ac:dyDescent="0.2">
      <c r="AH148" s="269">
        <v>1.8400000000000007</v>
      </c>
      <c r="AI148">
        <v>1</v>
      </c>
    </row>
    <row r="149" spans="34:35" x14ac:dyDescent="0.2">
      <c r="AH149" s="269">
        <v>1.8500000000000008</v>
      </c>
      <c r="AI149">
        <v>1</v>
      </c>
    </row>
    <row r="150" spans="34:35" x14ac:dyDescent="0.2">
      <c r="AH150" s="269">
        <v>1.8600000000000008</v>
      </c>
      <c r="AI150">
        <v>1</v>
      </c>
    </row>
    <row r="151" spans="34:35" x14ac:dyDescent="0.2">
      <c r="AH151" s="269">
        <v>1.8700000000000008</v>
      </c>
      <c r="AI151">
        <v>1</v>
      </c>
    </row>
    <row r="152" spans="34:35" x14ac:dyDescent="0.2">
      <c r="AH152" s="269">
        <v>1.8800000000000008</v>
      </c>
      <c r="AI152">
        <v>1</v>
      </c>
    </row>
    <row r="153" spans="34:35" x14ac:dyDescent="0.2">
      <c r="AH153" s="269">
        <v>1.8900000000000008</v>
      </c>
      <c r="AI153">
        <v>1</v>
      </c>
    </row>
    <row r="154" spans="34:35" x14ac:dyDescent="0.2">
      <c r="AH154" s="269">
        <v>1.9000000000000008</v>
      </c>
      <c r="AI154">
        <v>1</v>
      </c>
    </row>
    <row r="155" spans="34:35" x14ac:dyDescent="0.2">
      <c r="AH155" s="269">
        <v>1.9100000000000008</v>
      </c>
      <c r="AI155">
        <v>1</v>
      </c>
    </row>
    <row r="156" spans="34:35" x14ac:dyDescent="0.2">
      <c r="AH156" s="269">
        <v>1.9200000000000008</v>
      </c>
      <c r="AI156">
        <v>1</v>
      </c>
    </row>
    <row r="157" spans="34:35" x14ac:dyDescent="0.2">
      <c r="AH157" s="269">
        <v>1.9300000000000008</v>
      </c>
      <c r="AI157">
        <v>1</v>
      </c>
    </row>
    <row r="158" spans="34:35" x14ac:dyDescent="0.2">
      <c r="AH158" s="269">
        <v>1.9400000000000008</v>
      </c>
      <c r="AI158">
        <v>1</v>
      </c>
    </row>
    <row r="159" spans="34:35" x14ac:dyDescent="0.2">
      <c r="AH159" s="269">
        <v>1.9500000000000008</v>
      </c>
      <c r="AI159">
        <v>1</v>
      </c>
    </row>
    <row r="160" spans="34:35" x14ac:dyDescent="0.2">
      <c r="AH160" s="269">
        <v>1.9600000000000009</v>
      </c>
      <c r="AI160">
        <v>1</v>
      </c>
    </row>
    <row r="161" spans="34:35" x14ac:dyDescent="0.2">
      <c r="AH161" s="269">
        <v>1.9700000000000009</v>
      </c>
      <c r="AI161">
        <v>1</v>
      </c>
    </row>
    <row r="162" spans="34:35" x14ac:dyDescent="0.2">
      <c r="AH162" s="269">
        <v>1.9800000000000009</v>
      </c>
      <c r="AI162">
        <v>1</v>
      </c>
    </row>
    <row r="163" spans="34:35" x14ac:dyDescent="0.2">
      <c r="AH163" s="269">
        <v>1.9900000000000009</v>
      </c>
      <c r="AI163">
        <v>1</v>
      </c>
    </row>
    <row r="164" spans="34:35" x14ac:dyDescent="0.2">
      <c r="AH164" s="269">
        <v>2.0000000000000009</v>
      </c>
      <c r="AI164">
        <v>1</v>
      </c>
    </row>
    <row r="165" spans="34:35" x14ac:dyDescent="0.2">
      <c r="AH165" s="269">
        <v>2.0100000000000007</v>
      </c>
      <c r="AI165">
        <v>2</v>
      </c>
    </row>
    <row r="166" spans="34:35" x14ac:dyDescent="0.2">
      <c r="AH166" s="269">
        <v>2.0200000000000005</v>
      </c>
      <c r="AI166">
        <v>2</v>
      </c>
    </row>
    <row r="167" spans="34:35" x14ac:dyDescent="0.2">
      <c r="AH167" s="269">
        <v>2.0300000000000002</v>
      </c>
      <c r="AI167">
        <v>2</v>
      </c>
    </row>
    <row r="168" spans="34:35" x14ac:dyDescent="0.2">
      <c r="AH168" s="269">
        <v>2.04</v>
      </c>
      <c r="AI168">
        <v>2</v>
      </c>
    </row>
    <row r="169" spans="34:35" x14ac:dyDescent="0.2">
      <c r="AH169" s="269">
        <v>2.0499999999999998</v>
      </c>
      <c r="AI169">
        <v>2</v>
      </c>
    </row>
    <row r="170" spans="34:35" x14ac:dyDescent="0.2">
      <c r="AH170" s="269">
        <v>2.0599999999999996</v>
      </c>
      <c r="AI170">
        <v>2</v>
      </c>
    </row>
    <row r="171" spans="34:35" x14ac:dyDescent="0.2">
      <c r="AH171" s="269">
        <v>2.0699999999999994</v>
      </c>
      <c r="AI171">
        <v>2</v>
      </c>
    </row>
    <row r="172" spans="34:35" x14ac:dyDescent="0.2">
      <c r="AH172" s="269">
        <v>2.0799999999999992</v>
      </c>
      <c r="AI172">
        <v>2</v>
      </c>
    </row>
    <row r="173" spans="34:35" x14ac:dyDescent="0.2">
      <c r="AH173" s="269">
        <v>2.089999999999999</v>
      </c>
      <c r="AI173">
        <v>2</v>
      </c>
    </row>
    <row r="174" spans="34:35" x14ac:dyDescent="0.2">
      <c r="AH174" s="269">
        <v>2.0999999999999988</v>
      </c>
      <c r="AI174">
        <v>2</v>
      </c>
    </row>
    <row r="175" spans="34:35" x14ac:dyDescent="0.2">
      <c r="AH175" s="269">
        <v>2.1099999999999985</v>
      </c>
      <c r="AI175">
        <v>2</v>
      </c>
    </row>
    <row r="176" spans="34:35" x14ac:dyDescent="0.2">
      <c r="AH176" s="269">
        <v>2.1199999999999983</v>
      </c>
      <c r="AI176">
        <v>2</v>
      </c>
    </row>
    <row r="177" spans="34:35" x14ac:dyDescent="0.2">
      <c r="AH177" s="269">
        <v>2.1299999999999981</v>
      </c>
      <c r="AI177">
        <v>2</v>
      </c>
    </row>
    <row r="178" spans="34:35" x14ac:dyDescent="0.2">
      <c r="AH178" s="269">
        <v>2.1399999999999979</v>
      </c>
      <c r="AI178">
        <v>2</v>
      </c>
    </row>
    <row r="179" spans="34:35" x14ac:dyDescent="0.2">
      <c r="AH179" s="269">
        <v>2.1499999999999977</v>
      </c>
      <c r="AI179">
        <v>2</v>
      </c>
    </row>
    <row r="180" spans="34:35" x14ac:dyDescent="0.2">
      <c r="AH180" s="269">
        <v>2.1599999999999975</v>
      </c>
      <c r="AI180">
        <v>2</v>
      </c>
    </row>
    <row r="181" spans="34:35" x14ac:dyDescent="0.2">
      <c r="AH181" s="269">
        <v>2.1699999999999973</v>
      </c>
      <c r="AI181">
        <v>2</v>
      </c>
    </row>
    <row r="182" spans="34:35" x14ac:dyDescent="0.2">
      <c r="AH182" s="269">
        <v>2.1799999999999971</v>
      </c>
      <c r="AI182">
        <v>2</v>
      </c>
    </row>
    <row r="183" spans="34:35" x14ac:dyDescent="0.2">
      <c r="AH183" s="269">
        <v>2.1899999999999968</v>
      </c>
      <c r="AI183">
        <v>2</v>
      </c>
    </row>
    <row r="184" spans="34:35" x14ac:dyDescent="0.2">
      <c r="AH184" s="269">
        <v>2.1999999999999966</v>
      </c>
      <c r="AI184">
        <v>2</v>
      </c>
    </row>
    <row r="185" spans="34:35" x14ac:dyDescent="0.2">
      <c r="AH185" s="269">
        <v>2.2099999999999964</v>
      </c>
      <c r="AI185">
        <v>2</v>
      </c>
    </row>
    <row r="186" spans="34:35" x14ac:dyDescent="0.2">
      <c r="AH186" s="269">
        <v>2.2199999999999962</v>
      </c>
      <c r="AI186">
        <v>2</v>
      </c>
    </row>
    <row r="187" spans="34:35" x14ac:dyDescent="0.2">
      <c r="AH187" s="269">
        <v>2.229999999999996</v>
      </c>
      <c r="AI187">
        <v>2</v>
      </c>
    </row>
    <row r="188" spans="34:35" x14ac:dyDescent="0.2">
      <c r="AH188" s="269">
        <v>2.2399999999999958</v>
      </c>
      <c r="AI188">
        <v>2</v>
      </c>
    </row>
    <row r="189" spans="34:35" x14ac:dyDescent="0.2">
      <c r="AH189" s="269">
        <v>2.2499999999999956</v>
      </c>
      <c r="AI189">
        <v>2</v>
      </c>
    </row>
    <row r="190" spans="34:35" x14ac:dyDescent="0.2">
      <c r="AH190" s="269">
        <v>2.2599999999999953</v>
      </c>
      <c r="AI190">
        <v>2</v>
      </c>
    </row>
    <row r="191" spans="34:35" x14ac:dyDescent="0.2">
      <c r="AH191" s="269">
        <v>2.2699999999999951</v>
      </c>
      <c r="AI191">
        <v>2</v>
      </c>
    </row>
    <row r="192" spans="34:35" x14ac:dyDescent="0.2">
      <c r="AH192" s="269">
        <v>2.2799999999999949</v>
      </c>
      <c r="AI192">
        <v>2</v>
      </c>
    </row>
    <row r="193" spans="34:35" x14ac:dyDescent="0.2">
      <c r="AH193" s="269">
        <v>2.2899999999999947</v>
      </c>
      <c r="AI193">
        <v>2</v>
      </c>
    </row>
    <row r="194" spans="34:35" x14ac:dyDescent="0.2">
      <c r="AH194" s="269">
        <v>2.2999999999999945</v>
      </c>
      <c r="AI194">
        <v>2</v>
      </c>
    </row>
    <row r="195" spans="34:35" x14ac:dyDescent="0.2">
      <c r="AH195" s="269">
        <v>2.3099999999999943</v>
      </c>
      <c r="AI195">
        <v>2</v>
      </c>
    </row>
    <row r="196" spans="34:35" x14ac:dyDescent="0.2">
      <c r="AH196" s="269">
        <v>2.3199999999999941</v>
      </c>
      <c r="AI196">
        <v>2</v>
      </c>
    </row>
    <row r="197" spans="34:35" x14ac:dyDescent="0.2">
      <c r="AH197" s="269">
        <v>2.3299999999999939</v>
      </c>
      <c r="AI197">
        <v>2</v>
      </c>
    </row>
    <row r="198" spans="34:35" x14ac:dyDescent="0.2">
      <c r="AH198" s="269">
        <v>2.3399999999999936</v>
      </c>
      <c r="AI198">
        <v>2</v>
      </c>
    </row>
    <row r="199" spans="34:35" x14ac:dyDescent="0.2">
      <c r="AH199" s="269">
        <v>2.3499999999999934</v>
      </c>
      <c r="AI199">
        <v>2</v>
      </c>
    </row>
    <row r="200" spans="34:35" x14ac:dyDescent="0.2">
      <c r="AH200" s="269">
        <v>2.3599999999999932</v>
      </c>
      <c r="AI200">
        <v>2</v>
      </c>
    </row>
    <row r="201" spans="34:35" x14ac:dyDescent="0.2">
      <c r="AH201" s="269">
        <v>2.369999999999993</v>
      </c>
      <c r="AI201">
        <v>2</v>
      </c>
    </row>
    <row r="202" spans="34:35" x14ac:dyDescent="0.2">
      <c r="AH202" s="269">
        <v>2.3799999999999928</v>
      </c>
      <c r="AI202">
        <v>2</v>
      </c>
    </row>
    <row r="203" spans="34:35" x14ac:dyDescent="0.2">
      <c r="AH203" s="269">
        <v>2.3899999999999926</v>
      </c>
      <c r="AI203">
        <v>2</v>
      </c>
    </row>
    <row r="204" spans="34:35" x14ac:dyDescent="0.2">
      <c r="AH204" s="269">
        <v>2.3999999999999924</v>
      </c>
      <c r="AI204">
        <v>2</v>
      </c>
    </row>
    <row r="205" spans="34:35" x14ac:dyDescent="0.2">
      <c r="AH205" s="269">
        <v>2.4099999999999921</v>
      </c>
      <c r="AI205">
        <v>2</v>
      </c>
    </row>
    <row r="206" spans="34:35" x14ac:dyDescent="0.2">
      <c r="AH206" s="269">
        <v>2.4199999999999919</v>
      </c>
      <c r="AI206">
        <v>2</v>
      </c>
    </row>
    <row r="207" spans="34:35" x14ac:dyDescent="0.2">
      <c r="AH207" s="269">
        <v>2.4299999999999917</v>
      </c>
      <c r="AI207">
        <v>2</v>
      </c>
    </row>
    <row r="208" spans="34:35" x14ac:dyDescent="0.2">
      <c r="AH208" s="269">
        <v>2.4399999999999915</v>
      </c>
      <c r="AI208">
        <v>2</v>
      </c>
    </row>
    <row r="209" spans="34:35" x14ac:dyDescent="0.2">
      <c r="AH209" s="269">
        <v>2.4499999999999913</v>
      </c>
      <c r="AI209">
        <v>2</v>
      </c>
    </row>
    <row r="210" spans="34:35" x14ac:dyDescent="0.2">
      <c r="AH210" s="269">
        <v>2.4599999999999911</v>
      </c>
      <c r="AI210">
        <v>2</v>
      </c>
    </row>
    <row r="211" spans="34:35" x14ac:dyDescent="0.2">
      <c r="AH211" s="269">
        <v>2.4699999999999909</v>
      </c>
      <c r="AI211">
        <v>2</v>
      </c>
    </row>
    <row r="212" spans="34:35" x14ac:dyDescent="0.2">
      <c r="AH212" s="269">
        <v>2.4799999999999907</v>
      </c>
      <c r="AI212">
        <v>2</v>
      </c>
    </row>
    <row r="213" spans="34:35" x14ac:dyDescent="0.2">
      <c r="AH213" s="269">
        <v>2.4899999999999904</v>
      </c>
      <c r="AI213">
        <v>2</v>
      </c>
    </row>
    <row r="214" spans="34:35" x14ac:dyDescent="0.2">
      <c r="AH214" s="269">
        <v>2.4999999999999902</v>
      </c>
      <c r="AI214">
        <v>2</v>
      </c>
    </row>
    <row r="215" spans="34:35" x14ac:dyDescent="0.2">
      <c r="AH215" s="269">
        <v>2.50999999999999</v>
      </c>
      <c r="AI215">
        <v>2</v>
      </c>
    </row>
    <row r="216" spans="34:35" x14ac:dyDescent="0.2">
      <c r="AH216" s="269">
        <v>2.5199999999999898</v>
      </c>
      <c r="AI216">
        <v>2</v>
      </c>
    </row>
    <row r="217" spans="34:35" x14ac:dyDescent="0.2">
      <c r="AH217" s="269">
        <v>2.5299999999999896</v>
      </c>
      <c r="AI217">
        <v>2</v>
      </c>
    </row>
    <row r="218" spans="34:35" x14ac:dyDescent="0.2">
      <c r="AH218" s="269">
        <v>2.5399999999999894</v>
      </c>
      <c r="AI218">
        <v>2</v>
      </c>
    </row>
    <row r="219" spans="34:35" x14ac:dyDescent="0.2">
      <c r="AH219" s="269">
        <v>2.5499999999999892</v>
      </c>
      <c r="AI219">
        <v>2</v>
      </c>
    </row>
    <row r="220" spans="34:35" x14ac:dyDescent="0.2">
      <c r="AH220" s="269">
        <v>2.559999999999989</v>
      </c>
      <c r="AI220">
        <v>2</v>
      </c>
    </row>
    <row r="221" spans="34:35" x14ac:dyDescent="0.2">
      <c r="AH221" s="269">
        <v>2.5699999999999887</v>
      </c>
      <c r="AI221">
        <v>2</v>
      </c>
    </row>
    <row r="222" spans="34:35" x14ac:dyDescent="0.2">
      <c r="AH222" s="269">
        <v>2.5799999999999885</v>
      </c>
      <c r="AI222">
        <v>2</v>
      </c>
    </row>
    <row r="223" spans="34:35" x14ac:dyDescent="0.2">
      <c r="AH223" s="269">
        <v>2.5899999999999883</v>
      </c>
      <c r="AI223">
        <v>2</v>
      </c>
    </row>
    <row r="224" spans="34:35" x14ac:dyDescent="0.2">
      <c r="AH224" s="269">
        <v>2.5999999999999881</v>
      </c>
      <c r="AI224">
        <v>2</v>
      </c>
    </row>
    <row r="225" spans="34:35" x14ac:dyDescent="0.2">
      <c r="AH225" s="269">
        <v>2.6099999999999879</v>
      </c>
      <c r="AI225">
        <v>2</v>
      </c>
    </row>
    <row r="226" spans="34:35" x14ac:dyDescent="0.2">
      <c r="AH226" s="269">
        <v>2.6199999999999877</v>
      </c>
      <c r="AI226">
        <v>2</v>
      </c>
    </row>
    <row r="227" spans="34:35" x14ac:dyDescent="0.2">
      <c r="AH227" s="269">
        <v>2.6299999999999875</v>
      </c>
      <c r="AI227">
        <v>2</v>
      </c>
    </row>
    <row r="228" spans="34:35" x14ac:dyDescent="0.2">
      <c r="AH228" s="269">
        <v>2.6399999999999872</v>
      </c>
      <c r="AI228">
        <v>2</v>
      </c>
    </row>
    <row r="229" spans="34:35" x14ac:dyDescent="0.2">
      <c r="AH229" s="269">
        <v>2.649999999999987</v>
      </c>
      <c r="AI229">
        <v>2</v>
      </c>
    </row>
    <row r="230" spans="34:35" x14ac:dyDescent="0.2">
      <c r="AH230" s="269">
        <v>2.6599999999999868</v>
      </c>
      <c r="AI230">
        <v>2</v>
      </c>
    </row>
    <row r="231" spans="34:35" x14ac:dyDescent="0.2">
      <c r="AH231" s="269">
        <v>2.6699999999999866</v>
      </c>
      <c r="AI231">
        <v>2</v>
      </c>
    </row>
    <row r="232" spans="34:35" x14ac:dyDescent="0.2">
      <c r="AH232" s="269">
        <v>2.6799999999999864</v>
      </c>
      <c r="AI232">
        <v>2</v>
      </c>
    </row>
    <row r="233" spans="34:35" x14ac:dyDescent="0.2">
      <c r="AH233" s="269">
        <v>2.6899999999999862</v>
      </c>
      <c r="AI233">
        <v>2</v>
      </c>
    </row>
    <row r="234" spans="34:35" x14ac:dyDescent="0.2">
      <c r="AH234" s="269">
        <v>2.699999999999986</v>
      </c>
      <c r="AI234">
        <v>2</v>
      </c>
    </row>
    <row r="235" spans="34:35" x14ac:dyDescent="0.2">
      <c r="AH235" s="269">
        <v>2.7099999999999858</v>
      </c>
      <c r="AI235">
        <v>2</v>
      </c>
    </row>
    <row r="236" spans="34:35" x14ac:dyDescent="0.2">
      <c r="AH236" s="269">
        <v>2.7199999999999855</v>
      </c>
      <c r="AI236">
        <v>2</v>
      </c>
    </row>
    <row r="237" spans="34:35" x14ac:dyDescent="0.2">
      <c r="AH237" s="269">
        <v>2.7299999999999853</v>
      </c>
      <c r="AI237">
        <v>2</v>
      </c>
    </row>
    <row r="238" spans="34:35" x14ac:dyDescent="0.2">
      <c r="AH238" s="269">
        <v>2.7399999999999851</v>
      </c>
      <c r="AI238">
        <v>2</v>
      </c>
    </row>
    <row r="239" spans="34:35" x14ac:dyDescent="0.2">
      <c r="AH239" s="269">
        <v>2.7499999999999849</v>
      </c>
      <c r="AI239">
        <v>2</v>
      </c>
    </row>
    <row r="240" spans="34:35" x14ac:dyDescent="0.2">
      <c r="AH240" s="269">
        <v>2.7599999999999847</v>
      </c>
      <c r="AI240">
        <v>2</v>
      </c>
    </row>
    <row r="241" spans="34:35" x14ac:dyDescent="0.2">
      <c r="AH241" s="269">
        <v>2.7699999999999845</v>
      </c>
      <c r="AI241">
        <v>2</v>
      </c>
    </row>
    <row r="242" spans="34:35" x14ac:dyDescent="0.2">
      <c r="AH242" s="269">
        <v>2.7799999999999843</v>
      </c>
      <c r="AI242">
        <v>2</v>
      </c>
    </row>
    <row r="243" spans="34:35" x14ac:dyDescent="0.2">
      <c r="AH243" s="269">
        <v>2.789999999999984</v>
      </c>
      <c r="AI243">
        <v>2</v>
      </c>
    </row>
    <row r="244" spans="34:35" x14ac:dyDescent="0.2">
      <c r="AH244" s="269">
        <v>2.7999999999999838</v>
      </c>
      <c r="AI244">
        <v>2</v>
      </c>
    </row>
    <row r="245" spans="34:35" x14ac:dyDescent="0.2">
      <c r="AH245" s="269">
        <v>2.8099999999999836</v>
      </c>
      <c r="AI245">
        <v>2</v>
      </c>
    </row>
    <row r="246" spans="34:35" x14ac:dyDescent="0.2">
      <c r="AH246" s="269">
        <v>2.8199999999999834</v>
      </c>
      <c r="AI246">
        <v>2</v>
      </c>
    </row>
    <row r="247" spans="34:35" x14ac:dyDescent="0.2">
      <c r="AH247" s="269">
        <v>2.8299999999999832</v>
      </c>
      <c r="AI247">
        <v>2</v>
      </c>
    </row>
    <row r="248" spans="34:35" x14ac:dyDescent="0.2">
      <c r="AH248" s="269">
        <v>2.839999999999983</v>
      </c>
      <c r="AI248">
        <v>2</v>
      </c>
    </row>
    <row r="249" spans="34:35" x14ac:dyDescent="0.2">
      <c r="AH249" s="269">
        <v>2.8499999999999828</v>
      </c>
      <c r="AI249">
        <v>2</v>
      </c>
    </row>
    <row r="250" spans="34:35" x14ac:dyDescent="0.2">
      <c r="AH250" s="269">
        <v>2.8599999999999826</v>
      </c>
      <c r="AI250">
        <v>2</v>
      </c>
    </row>
    <row r="251" spans="34:35" x14ac:dyDescent="0.2">
      <c r="AH251" s="269">
        <v>2.8699999999999823</v>
      </c>
      <c r="AI251">
        <v>2</v>
      </c>
    </row>
    <row r="252" spans="34:35" x14ac:dyDescent="0.2">
      <c r="AH252" s="269">
        <v>2.8799999999999821</v>
      </c>
      <c r="AI252">
        <v>2</v>
      </c>
    </row>
    <row r="253" spans="34:35" x14ac:dyDescent="0.2">
      <c r="AH253" s="269">
        <v>2.8899999999999819</v>
      </c>
      <c r="AI253">
        <v>2</v>
      </c>
    </row>
    <row r="254" spans="34:35" x14ac:dyDescent="0.2">
      <c r="AH254" s="269">
        <v>2.8999999999999817</v>
      </c>
      <c r="AI254">
        <v>2</v>
      </c>
    </row>
    <row r="255" spans="34:35" x14ac:dyDescent="0.2">
      <c r="AH255" s="269">
        <v>2.9099999999999815</v>
      </c>
      <c r="AI255">
        <v>2</v>
      </c>
    </row>
    <row r="256" spans="34:35" x14ac:dyDescent="0.2">
      <c r="AH256" s="269">
        <v>2.9199999999999813</v>
      </c>
      <c r="AI256">
        <v>2</v>
      </c>
    </row>
    <row r="257" spans="34:35" x14ac:dyDescent="0.2">
      <c r="AH257" s="269">
        <v>2.9299999999999811</v>
      </c>
      <c r="AI257">
        <v>2</v>
      </c>
    </row>
    <row r="258" spans="34:35" x14ac:dyDescent="0.2">
      <c r="AH258" s="269">
        <v>2.9399999999999809</v>
      </c>
      <c r="AI258">
        <v>2</v>
      </c>
    </row>
    <row r="259" spans="34:35" x14ac:dyDescent="0.2">
      <c r="AH259" s="269">
        <v>2.9499999999999806</v>
      </c>
      <c r="AI259">
        <v>2</v>
      </c>
    </row>
    <row r="260" spans="34:35" x14ac:dyDescent="0.2">
      <c r="AH260" s="269">
        <v>2.9599999999999804</v>
      </c>
      <c r="AI260">
        <v>2</v>
      </c>
    </row>
    <row r="261" spans="34:35" x14ac:dyDescent="0.2">
      <c r="AH261" s="269">
        <v>2.9699999999999802</v>
      </c>
      <c r="AI261">
        <v>2</v>
      </c>
    </row>
    <row r="262" spans="34:35" x14ac:dyDescent="0.2">
      <c r="AH262" s="269">
        <v>2.97999999999998</v>
      </c>
      <c r="AI262">
        <v>2</v>
      </c>
    </row>
    <row r="263" spans="34:35" x14ac:dyDescent="0.2">
      <c r="AH263" s="269">
        <v>2.9899999999999798</v>
      </c>
      <c r="AI263">
        <v>2</v>
      </c>
    </row>
    <row r="264" spans="34:35" x14ac:dyDescent="0.2">
      <c r="AH264" s="269">
        <v>2.9999999999999796</v>
      </c>
      <c r="AI264">
        <v>3</v>
      </c>
    </row>
    <row r="265" spans="34:35" x14ac:dyDescent="0.2">
      <c r="AH265" s="269">
        <v>3.0099999999999794</v>
      </c>
      <c r="AI265">
        <v>3</v>
      </c>
    </row>
    <row r="266" spans="34:35" x14ac:dyDescent="0.2">
      <c r="AH266" s="269">
        <v>3.0199999999999791</v>
      </c>
      <c r="AI266">
        <v>3</v>
      </c>
    </row>
    <row r="267" spans="34:35" x14ac:dyDescent="0.2">
      <c r="AH267" s="269">
        <v>3.0299999999999789</v>
      </c>
      <c r="AI267">
        <v>3</v>
      </c>
    </row>
    <row r="268" spans="34:35" x14ac:dyDescent="0.2">
      <c r="AH268" s="269">
        <v>3.0399999999999787</v>
      </c>
      <c r="AI268">
        <v>3</v>
      </c>
    </row>
    <row r="269" spans="34:35" x14ac:dyDescent="0.2">
      <c r="AH269" s="269">
        <v>3.0499999999999785</v>
      </c>
      <c r="AI269">
        <v>3</v>
      </c>
    </row>
    <row r="270" spans="34:35" x14ac:dyDescent="0.2">
      <c r="AH270" s="269">
        <v>3.0599999999999783</v>
      </c>
      <c r="AI270">
        <v>3</v>
      </c>
    </row>
    <row r="271" spans="34:35" x14ac:dyDescent="0.2">
      <c r="AH271" s="269">
        <v>3.0699999999999781</v>
      </c>
      <c r="AI271">
        <v>3</v>
      </c>
    </row>
    <row r="272" spans="34:35" x14ac:dyDescent="0.2">
      <c r="AH272" s="269">
        <v>3.0799999999999779</v>
      </c>
      <c r="AI272">
        <v>3</v>
      </c>
    </row>
    <row r="273" spans="34:35" x14ac:dyDescent="0.2">
      <c r="AH273" s="269">
        <v>3.0899999999999777</v>
      </c>
      <c r="AI273">
        <v>3</v>
      </c>
    </row>
    <row r="274" spans="34:35" x14ac:dyDescent="0.2">
      <c r="AH274" s="269">
        <v>3.0999999999999774</v>
      </c>
      <c r="AI274">
        <v>3</v>
      </c>
    </row>
    <row r="275" spans="34:35" x14ac:dyDescent="0.2">
      <c r="AH275" s="269">
        <v>3.1099999999999772</v>
      </c>
      <c r="AI275">
        <v>3</v>
      </c>
    </row>
    <row r="276" spans="34:35" x14ac:dyDescent="0.2">
      <c r="AH276" s="269">
        <v>3.119999999999977</v>
      </c>
      <c r="AI276">
        <v>3</v>
      </c>
    </row>
    <row r="277" spans="34:35" x14ac:dyDescent="0.2">
      <c r="AH277" s="269">
        <v>3.1299999999999768</v>
      </c>
      <c r="AI277">
        <v>3</v>
      </c>
    </row>
    <row r="278" spans="34:35" x14ac:dyDescent="0.2">
      <c r="AH278" s="269">
        <v>3.1399999999999766</v>
      </c>
      <c r="AI278">
        <v>3</v>
      </c>
    </row>
    <row r="279" spans="34:35" x14ac:dyDescent="0.2">
      <c r="AH279" s="269">
        <v>3.1499999999999764</v>
      </c>
      <c r="AI279">
        <v>3</v>
      </c>
    </row>
    <row r="280" spans="34:35" x14ac:dyDescent="0.2">
      <c r="AH280" s="269">
        <v>3.1599999999999762</v>
      </c>
      <c r="AI280">
        <v>3</v>
      </c>
    </row>
    <row r="281" spans="34:35" x14ac:dyDescent="0.2">
      <c r="AH281" s="269">
        <v>3.1699999999999759</v>
      </c>
      <c r="AI281">
        <v>3</v>
      </c>
    </row>
    <row r="282" spans="34:35" x14ac:dyDescent="0.2">
      <c r="AH282" s="269">
        <v>3.1799999999999757</v>
      </c>
      <c r="AI282">
        <v>3</v>
      </c>
    </row>
    <row r="283" spans="34:35" x14ac:dyDescent="0.2">
      <c r="AH283" s="269">
        <v>3.1899999999999755</v>
      </c>
      <c r="AI283">
        <v>3</v>
      </c>
    </row>
    <row r="284" spans="34:35" x14ac:dyDescent="0.2">
      <c r="AH284" s="269">
        <v>3.1999999999999753</v>
      </c>
      <c r="AI284">
        <v>3</v>
      </c>
    </row>
    <row r="285" spans="34:35" x14ac:dyDescent="0.2">
      <c r="AH285" s="269">
        <v>3.2099999999999751</v>
      </c>
      <c r="AI285">
        <v>3</v>
      </c>
    </row>
    <row r="286" spans="34:35" x14ac:dyDescent="0.2">
      <c r="AH286" s="269">
        <v>3.2199999999999749</v>
      </c>
      <c r="AI286">
        <v>3</v>
      </c>
    </row>
    <row r="287" spans="34:35" x14ac:dyDescent="0.2">
      <c r="AH287" s="269">
        <v>3.2299999999999747</v>
      </c>
      <c r="AI287">
        <v>3</v>
      </c>
    </row>
    <row r="288" spans="34:35" x14ac:dyDescent="0.2">
      <c r="AH288" s="269">
        <v>3.2399999999999745</v>
      </c>
      <c r="AI288">
        <v>3</v>
      </c>
    </row>
    <row r="289" spans="34:35" x14ac:dyDescent="0.2">
      <c r="AH289" s="269">
        <v>3.2499999999999742</v>
      </c>
      <c r="AI289">
        <v>3</v>
      </c>
    </row>
    <row r="290" spans="34:35" x14ac:dyDescent="0.2">
      <c r="AH290" s="269">
        <v>3.259999999999974</v>
      </c>
      <c r="AI290">
        <v>3</v>
      </c>
    </row>
    <row r="291" spans="34:35" x14ac:dyDescent="0.2">
      <c r="AH291" s="269">
        <v>3.2699999999999738</v>
      </c>
      <c r="AI291">
        <v>3</v>
      </c>
    </row>
    <row r="292" spans="34:35" x14ac:dyDescent="0.2">
      <c r="AH292" s="269">
        <v>3.2799999999999736</v>
      </c>
      <c r="AI292">
        <v>3</v>
      </c>
    </row>
    <row r="293" spans="34:35" x14ac:dyDescent="0.2">
      <c r="AH293" s="269">
        <v>3.2899999999999734</v>
      </c>
      <c r="AI293">
        <v>3</v>
      </c>
    </row>
    <row r="294" spans="34:35" x14ac:dyDescent="0.2">
      <c r="AH294" s="269">
        <v>3.2999999999999732</v>
      </c>
      <c r="AI294">
        <v>3</v>
      </c>
    </row>
    <row r="295" spans="34:35" x14ac:dyDescent="0.2">
      <c r="AH295" s="269">
        <v>3.309999999999973</v>
      </c>
      <c r="AI295">
        <v>3</v>
      </c>
    </row>
    <row r="296" spans="34:35" x14ac:dyDescent="0.2">
      <c r="AH296" s="269">
        <v>3.3199999999999728</v>
      </c>
      <c r="AI296">
        <v>3</v>
      </c>
    </row>
    <row r="297" spans="34:35" x14ac:dyDescent="0.2">
      <c r="AH297" s="269">
        <v>3.3299999999999725</v>
      </c>
      <c r="AI297">
        <v>3</v>
      </c>
    </row>
    <row r="298" spans="34:35" x14ac:dyDescent="0.2">
      <c r="AH298" s="269">
        <v>3.3399999999999723</v>
      </c>
      <c r="AI298">
        <v>3</v>
      </c>
    </row>
    <row r="299" spans="34:35" x14ac:dyDescent="0.2">
      <c r="AH299" s="269">
        <v>3.3499999999999721</v>
      </c>
      <c r="AI299">
        <v>3</v>
      </c>
    </row>
    <row r="300" spans="34:35" x14ac:dyDescent="0.2">
      <c r="AH300" s="269">
        <v>3.3599999999999719</v>
      </c>
      <c r="AI300">
        <v>3</v>
      </c>
    </row>
    <row r="301" spans="34:35" x14ac:dyDescent="0.2">
      <c r="AH301" s="269">
        <v>3.3699999999999717</v>
      </c>
      <c r="AI301">
        <v>3</v>
      </c>
    </row>
    <row r="302" spans="34:35" x14ac:dyDescent="0.2">
      <c r="AH302" s="269">
        <v>3.3799999999999715</v>
      </c>
      <c r="AI302">
        <v>3</v>
      </c>
    </row>
    <row r="303" spans="34:35" x14ac:dyDescent="0.2">
      <c r="AH303" s="269">
        <v>3.3899999999999713</v>
      </c>
      <c r="AI303">
        <v>3</v>
      </c>
    </row>
    <row r="304" spans="34:35" x14ac:dyDescent="0.2">
      <c r="AH304" s="269">
        <v>3.399999999999971</v>
      </c>
      <c r="AI304">
        <v>3</v>
      </c>
    </row>
    <row r="305" spans="34:35" x14ac:dyDescent="0.2">
      <c r="AH305" s="269">
        <v>3.4099999999999708</v>
      </c>
      <c r="AI305">
        <v>3</v>
      </c>
    </row>
    <row r="306" spans="34:35" x14ac:dyDescent="0.2">
      <c r="AH306" s="269">
        <v>3.4199999999999706</v>
      </c>
      <c r="AI306">
        <v>3</v>
      </c>
    </row>
    <row r="307" spans="34:35" x14ac:dyDescent="0.2">
      <c r="AH307" s="269">
        <v>3.4299999999999704</v>
      </c>
      <c r="AI307">
        <v>3</v>
      </c>
    </row>
    <row r="308" spans="34:35" x14ac:dyDescent="0.2">
      <c r="AH308" s="269">
        <v>3.4399999999999702</v>
      </c>
      <c r="AI308">
        <v>3</v>
      </c>
    </row>
    <row r="309" spans="34:35" x14ac:dyDescent="0.2">
      <c r="AH309" s="269">
        <v>3.44999999999997</v>
      </c>
      <c r="AI309">
        <v>3</v>
      </c>
    </row>
    <row r="310" spans="34:35" x14ac:dyDescent="0.2">
      <c r="AH310" s="269">
        <v>3.4599999999999698</v>
      </c>
      <c r="AI310">
        <v>3</v>
      </c>
    </row>
    <row r="311" spans="34:35" x14ac:dyDescent="0.2">
      <c r="AH311" s="269">
        <v>3.4699999999999696</v>
      </c>
      <c r="AI311">
        <v>3</v>
      </c>
    </row>
    <row r="312" spans="34:35" x14ac:dyDescent="0.2">
      <c r="AH312" s="269">
        <v>3.4799999999999693</v>
      </c>
      <c r="AI312">
        <v>3</v>
      </c>
    </row>
    <row r="313" spans="34:35" x14ac:dyDescent="0.2">
      <c r="AH313" s="269">
        <v>3.4899999999999691</v>
      </c>
      <c r="AI313">
        <v>3</v>
      </c>
    </row>
    <row r="314" spans="34:35" x14ac:dyDescent="0.2">
      <c r="AH314" s="269">
        <v>3.4999999999999689</v>
      </c>
      <c r="AI314">
        <v>3</v>
      </c>
    </row>
    <row r="315" spans="34:35" x14ac:dyDescent="0.2">
      <c r="AH315" s="269">
        <v>3.5099999999999687</v>
      </c>
      <c r="AI315">
        <v>3</v>
      </c>
    </row>
    <row r="316" spans="34:35" x14ac:dyDescent="0.2">
      <c r="AH316" s="269">
        <v>3.5199999999999685</v>
      </c>
      <c r="AI316">
        <v>3</v>
      </c>
    </row>
    <row r="317" spans="34:35" x14ac:dyDescent="0.2">
      <c r="AH317" s="269">
        <v>3.5299999999999683</v>
      </c>
      <c r="AI317">
        <v>3</v>
      </c>
    </row>
    <row r="318" spans="34:35" x14ac:dyDescent="0.2">
      <c r="AH318" s="269">
        <v>3.5399999999999681</v>
      </c>
      <c r="AI318">
        <v>3</v>
      </c>
    </row>
    <row r="319" spans="34:35" x14ac:dyDescent="0.2">
      <c r="AH319" s="269">
        <v>3.5499999999999678</v>
      </c>
      <c r="AI319">
        <v>3</v>
      </c>
    </row>
    <row r="320" spans="34:35" x14ac:dyDescent="0.2">
      <c r="AH320" s="269">
        <v>3.5599999999999676</v>
      </c>
      <c r="AI320">
        <v>3</v>
      </c>
    </row>
    <row r="321" spans="34:35" x14ac:dyDescent="0.2">
      <c r="AH321" s="269">
        <v>3.5699999999999674</v>
      </c>
      <c r="AI321">
        <v>3</v>
      </c>
    </row>
    <row r="322" spans="34:35" x14ac:dyDescent="0.2">
      <c r="AH322" s="269">
        <v>3.5799999999999672</v>
      </c>
      <c r="AI322">
        <v>3</v>
      </c>
    </row>
    <row r="323" spans="34:35" x14ac:dyDescent="0.2">
      <c r="AH323" s="269">
        <v>3.589999999999967</v>
      </c>
      <c r="AI323">
        <v>3</v>
      </c>
    </row>
    <row r="324" spans="34:35" x14ac:dyDescent="0.2">
      <c r="AH324" s="269">
        <v>3.5999999999999668</v>
      </c>
      <c r="AI324">
        <v>3</v>
      </c>
    </row>
    <row r="325" spans="34:35" x14ac:dyDescent="0.2">
      <c r="AH325" s="269">
        <v>3.6099999999999666</v>
      </c>
      <c r="AI325">
        <v>3</v>
      </c>
    </row>
    <row r="326" spans="34:35" x14ac:dyDescent="0.2">
      <c r="AH326" s="269">
        <v>3.6199999999999664</v>
      </c>
      <c r="AI326">
        <v>3</v>
      </c>
    </row>
    <row r="327" spans="34:35" x14ac:dyDescent="0.2">
      <c r="AH327" s="269">
        <v>3.6299999999999661</v>
      </c>
      <c r="AI327">
        <v>3</v>
      </c>
    </row>
    <row r="328" spans="34:35" x14ac:dyDescent="0.2">
      <c r="AH328" s="269">
        <v>3.6399999999999659</v>
      </c>
      <c r="AI328">
        <v>3</v>
      </c>
    </row>
    <row r="329" spans="34:35" x14ac:dyDescent="0.2">
      <c r="AH329" s="269">
        <v>3.6499999999999657</v>
      </c>
      <c r="AI329">
        <v>3</v>
      </c>
    </row>
    <row r="330" spans="34:35" x14ac:dyDescent="0.2">
      <c r="AH330" s="269">
        <v>3.6599999999999655</v>
      </c>
      <c r="AI330">
        <v>3</v>
      </c>
    </row>
    <row r="331" spans="34:35" x14ac:dyDescent="0.2">
      <c r="AH331" s="269">
        <v>3.6699999999999653</v>
      </c>
      <c r="AI331">
        <v>3</v>
      </c>
    </row>
    <row r="332" spans="34:35" x14ac:dyDescent="0.2">
      <c r="AH332" s="269">
        <v>3.6799999999999651</v>
      </c>
      <c r="AI332">
        <v>3</v>
      </c>
    </row>
    <row r="333" spans="34:35" x14ac:dyDescent="0.2">
      <c r="AH333" s="269">
        <v>3.6899999999999649</v>
      </c>
      <c r="AI333">
        <v>3</v>
      </c>
    </row>
    <row r="334" spans="34:35" x14ac:dyDescent="0.2">
      <c r="AH334" s="269">
        <v>3.6999999999999647</v>
      </c>
      <c r="AI334">
        <v>3</v>
      </c>
    </row>
    <row r="335" spans="34:35" x14ac:dyDescent="0.2">
      <c r="AH335" s="269">
        <v>3.7099999999999644</v>
      </c>
      <c r="AI335">
        <v>3</v>
      </c>
    </row>
    <row r="336" spans="34:35" x14ac:dyDescent="0.2">
      <c r="AH336" s="269">
        <v>3.7199999999999642</v>
      </c>
      <c r="AI336">
        <v>3</v>
      </c>
    </row>
    <row r="337" spans="34:35" x14ac:dyDescent="0.2">
      <c r="AH337" s="269">
        <v>3.729999999999964</v>
      </c>
      <c r="AI337">
        <v>3</v>
      </c>
    </row>
    <row r="338" spans="34:35" x14ac:dyDescent="0.2">
      <c r="AH338" s="269">
        <v>3.7399999999999638</v>
      </c>
      <c r="AI338">
        <v>3</v>
      </c>
    </row>
    <row r="339" spans="34:35" x14ac:dyDescent="0.2">
      <c r="AH339" s="269">
        <v>3.7499999999999636</v>
      </c>
      <c r="AI339">
        <v>3</v>
      </c>
    </row>
    <row r="340" spans="34:35" x14ac:dyDescent="0.2">
      <c r="AH340" s="269">
        <v>3.7599999999999634</v>
      </c>
      <c r="AI340">
        <v>3</v>
      </c>
    </row>
    <row r="341" spans="34:35" x14ac:dyDescent="0.2">
      <c r="AH341" s="269">
        <v>3.7699999999999632</v>
      </c>
      <c r="AI341">
        <v>3</v>
      </c>
    </row>
    <row r="342" spans="34:35" x14ac:dyDescent="0.2">
      <c r="AH342" s="269">
        <v>3.7799999999999629</v>
      </c>
      <c r="AI342">
        <v>3</v>
      </c>
    </row>
    <row r="343" spans="34:35" x14ac:dyDescent="0.2">
      <c r="AH343" s="269">
        <v>3.7899999999999627</v>
      </c>
      <c r="AI343">
        <v>3</v>
      </c>
    </row>
    <row r="344" spans="34:35" x14ac:dyDescent="0.2">
      <c r="AH344" s="269">
        <v>3.7999999999999625</v>
      </c>
      <c r="AI344">
        <v>3</v>
      </c>
    </row>
    <row r="345" spans="34:35" x14ac:dyDescent="0.2">
      <c r="AH345" s="269">
        <v>3.8099999999999623</v>
      </c>
      <c r="AI345">
        <v>3</v>
      </c>
    </row>
    <row r="346" spans="34:35" x14ac:dyDescent="0.2">
      <c r="AH346" s="269">
        <v>3.8199999999999621</v>
      </c>
      <c r="AI346">
        <v>3</v>
      </c>
    </row>
    <row r="347" spans="34:35" x14ac:dyDescent="0.2">
      <c r="AH347" s="269">
        <v>3.8299999999999619</v>
      </c>
      <c r="AI347">
        <v>3</v>
      </c>
    </row>
    <row r="348" spans="34:35" x14ac:dyDescent="0.2">
      <c r="AH348" s="269">
        <v>3.8399999999999617</v>
      </c>
      <c r="AI348">
        <v>3</v>
      </c>
    </row>
    <row r="349" spans="34:35" x14ac:dyDescent="0.2">
      <c r="AH349" s="269">
        <v>3.8499999999999615</v>
      </c>
      <c r="AI349">
        <v>3</v>
      </c>
    </row>
    <row r="350" spans="34:35" x14ac:dyDescent="0.2">
      <c r="AH350" s="269">
        <v>3.8599999999999612</v>
      </c>
      <c r="AI350">
        <v>3</v>
      </c>
    </row>
    <row r="351" spans="34:35" x14ac:dyDescent="0.2">
      <c r="AH351" s="269">
        <v>3.869999999999961</v>
      </c>
      <c r="AI351">
        <v>3</v>
      </c>
    </row>
    <row r="352" spans="34:35" x14ac:dyDescent="0.2">
      <c r="AH352" s="269">
        <v>3.8799999999999608</v>
      </c>
      <c r="AI352">
        <v>3</v>
      </c>
    </row>
    <row r="353" spans="34:35" x14ac:dyDescent="0.2">
      <c r="AH353" s="269">
        <v>3.8899999999999606</v>
      </c>
      <c r="AI353">
        <v>3</v>
      </c>
    </row>
    <row r="354" spans="34:35" x14ac:dyDescent="0.2">
      <c r="AH354" s="269">
        <v>3.8999999999999604</v>
      </c>
      <c r="AI354">
        <v>3</v>
      </c>
    </row>
    <row r="355" spans="34:35" x14ac:dyDescent="0.2">
      <c r="AH355" s="269">
        <v>3.9099999999999602</v>
      </c>
      <c r="AI355">
        <v>3</v>
      </c>
    </row>
    <row r="356" spans="34:35" x14ac:dyDescent="0.2">
      <c r="AH356" s="269">
        <v>3.91999999999996</v>
      </c>
      <c r="AI356">
        <v>3</v>
      </c>
    </row>
    <row r="357" spans="34:35" x14ac:dyDescent="0.2">
      <c r="AH357" s="269">
        <v>3.9299999999999597</v>
      </c>
      <c r="AI357">
        <v>3</v>
      </c>
    </row>
    <row r="358" spans="34:35" x14ac:dyDescent="0.2">
      <c r="AH358" s="269">
        <v>3.9399999999999595</v>
      </c>
      <c r="AI358">
        <v>3</v>
      </c>
    </row>
    <row r="359" spans="34:35" x14ac:dyDescent="0.2">
      <c r="AH359" s="269">
        <v>3.9499999999999593</v>
      </c>
      <c r="AI359">
        <v>3</v>
      </c>
    </row>
    <row r="360" spans="34:35" x14ac:dyDescent="0.2">
      <c r="AH360" s="269">
        <v>3.9599999999999591</v>
      </c>
      <c r="AI360">
        <v>3</v>
      </c>
    </row>
    <row r="361" spans="34:35" x14ac:dyDescent="0.2">
      <c r="AH361" s="269">
        <v>3.9699999999999589</v>
      </c>
      <c r="AI361">
        <v>3</v>
      </c>
    </row>
    <row r="362" spans="34:35" x14ac:dyDescent="0.2">
      <c r="AH362" s="269">
        <v>3.9799999999999587</v>
      </c>
      <c r="AI362">
        <v>3</v>
      </c>
    </row>
    <row r="363" spans="34:35" x14ac:dyDescent="0.2">
      <c r="AH363" s="269">
        <v>3.9899999999999585</v>
      </c>
      <c r="AI363">
        <v>3</v>
      </c>
    </row>
    <row r="364" spans="34:35" x14ac:dyDescent="0.2">
      <c r="AH364" s="269">
        <v>3.9999999999999583</v>
      </c>
      <c r="AI364">
        <v>4</v>
      </c>
    </row>
    <row r="365" spans="34:35" x14ac:dyDescent="0.2">
      <c r="AH365" s="269">
        <v>4.009999999999958</v>
      </c>
      <c r="AI365">
        <v>4</v>
      </c>
    </row>
    <row r="366" spans="34:35" x14ac:dyDescent="0.2">
      <c r="AH366" s="269">
        <v>4.0199999999999578</v>
      </c>
      <c r="AI366">
        <v>4</v>
      </c>
    </row>
    <row r="367" spans="34:35" x14ac:dyDescent="0.2">
      <c r="AH367" s="269">
        <v>4.0299999999999576</v>
      </c>
      <c r="AI367">
        <v>4</v>
      </c>
    </row>
    <row r="368" spans="34:35" x14ac:dyDescent="0.2">
      <c r="AH368" s="269">
        <v>4.0399999999999574</v>
      </c>
      <c r="AI368">
        <v>4</v>
      </c>
    </row>
    <row r="369" spans="34:35" x14ac:dyDescent="0.2">
      <c r="AH369" s="269">
        <v>4.0499999999999572</v>
      </c>
      <c r="AI369">
        <v>4</v>
      </c>
    </row>
    <row r="370" spans="34:35" x14ac:dyDescent="0.2">
      <c r="AH370" s="269">
        <v>4.059999999999957</v>
      </c>
      <c r="AI370">
        <v>4</v>
      </c>
    </row>
    <row r="371" spans="34:35" x14ac:dyDescent="0.2">
      <c r="AH371" s="269">
        <v>4.0699999999999568</v>
      </c>
      <c r="AI371">
        <v>4</v>
      </c>
    </row>
    <row r="372" spans="34:35" x14ac:dyDescent="0.2">
      <c r="AH372" s="269">
        <v>4.0799999999999566</v>
      </c>
      <c r="AI372">
        <v>4</v>
      </c>
    </row>
    <row r="373" spans="34:35" x14ac:dyDescent="0.2">
      <c r="AH373" s="269">
        <v>4.0899999999999563</v>
      </c>
      <c r="AI373">
        <v>4</v>
      </c>
    </row>
    <row r="374" spans="34:35" x14ac:dyDescent="0.2">
      <c r="AH374" s="269">
        <v>4.0999999999999561</v>
      </c>
      <c r="AI374">
        <v>4</v>
      </c>
    </row>
    <row r="375" spans="34:35" x14ac:dyDescent="0.2">
      <c r="AH375" s="269">
        <v>4.1099999999999559</v>
      </c>
      <c r="AI375">
        <v>4</v>
      </c>
    </row>
    <row r="376" spans="34:35" x14ac:dyDescent="0.2">
      <c r="AH376" s="269">
        <v>4.1199999999999557</v>
      </c>
      <c r="AI376">
        <v>4</v>
      </c>
    </row>
    <row r="377" spans="34:35" x14ac:dyDescent="0.2">
      <c r="AH377" s="269">
        <v>4.1299999999999555</v>
      </c>
      <c r="AI377">
        <v>4</v>
      </c>
    </row>
    <row r="378" spans="34:35" x14ac:dyDescent="0.2">
      <c r="AH378" s="269">
        <v>4.1399999999999553</v>
      </c>
      <c r="AI378">
        <v>4</v>
      </c>
    </row>
    <row r="379" spans="34:35" x14ac:dyDescent="0.2">
      <c r="AH379" s="269">
        <v>4.1499999999999551</v>
      </c>
      <c r="AI379">
        <v>4</v>
      </c>
    </row>
    <row r="380" spans="34:35" x14ac:dyDescent="0.2">
      <c r="AH380" s="269">
        <v>4.1599999999999548</v>
      </c>
      <c r="AI380">
        <v>4</v>
      </c>
    </row>
    <row r="381" spans="34:35" x14ac:dyDescent="0.2">
      <c r="AH381" s="269">
        <v>4.1699999999999546</v>
      </c>
      <c r="AI381">
        <v>4</v>
      </c>
    </row>
    <row r="382" spans="34:35" x14ac:dyDescent="0.2">
      <c r="AH382" s="269">
        <v>4.1799999999999544</v>
      </c>
      <c r="AI382">
        <v>4</v>
      </c>
    </row>
    <row r="383" spans="34:35" x14ac:dyDescent="0.2">
      <c r="AH383" s="269">
        <v>4.1899999999999542</v>
      </c>
      <c r="AI383">
        <v>4</v>
      </c>
    </row>
    <row r="384" spans="34:35" x14ac:dyDescent="0.2">
      <c r="AH384" s="269">
        <v>4.199999999999954</v>
      </c>
      <c r="AI384">
        <v>4</v>
      </c>
    </row>
    <row r="385" spans="34:35" x14ac:dyDescent="0.2">
      <c r="AH385" s="269">
        <v>4.2099999999999538</v>
      </c>
      <c r="AI385">
        <v>4</v>
      </c>
    </row>
    <row r="386" spans="34:35" x14ac:dyDescent="0.2">
      <c r="AH386" s="269">
        <v>4.2199999999999536</v>
      </c>
      <c r="AI386">
        <v>4</v>
      </c>
    </row>
    <row r="387" spans="34:35" x14ac:dyDescent="0.2">
      <c r="AH387" s="269">
        <v>4.2299999999999534</v>
      </c>
      <c r="AI387">
        <v>4</v>
      </c>
    </row>
    <row r="388" spans="34:35" x14ac:dyDescent="0.2">
      <c r="AH388" s="269">
        <v>4.2399999999999531</v>
      </c>
      <c r="AI388">
        <v>4</v>
      </c>
    </row>
    <row r="389" spans="34:35" x14ac:dyDescent="0.2">
      <c r="AH389" s="269">
        <v>4.2499999999999529</v>
      </c>
      <c r="AI389">
        <v>4</v>
      </c>
    </row>
    <row r="390" spans="34:35" x14ac:dyDescent="0.2">
      <c r="AH390" s="269">
        <v>4.2599999999999527</v>
      </c>
      <c r="AI390">
        <v>4</v>
      </c>
    </row>
    <row r="391" spans="34:35" x14ac:dyDescent="0.2">
      <c r="AH391" s="269">
        <v>4.2699999999999525</v>
      </c>
      <c r="AI391">
        <v>4</v>
      </c>
    </row>
    <row r="392" spans="34:35" x14ac:dyDescent="0.2">
      <c r="AH392" s="269">
        <v>4.2799999999999523</v>
      </c>
      <c r="AI392">
        <v>4</v>
      </c>
    </row>
    <row r="393" spans="34:35" x14ac:dyDescent="0.2">
      <c r="AH393" s="269">
        <v>4.2899999999999521</v>
      </c>
      <c r="AI393">
        <v>4</v>
      </c>
    </row>
    <row r="394" spans="34:35" x14ac:dyDescent="0.2">
      <c r="AH394" s="269">
        <v>4.2999999999999519</v>
      </c>
      <c r="AI394">
        <v>4</v>
      </c>
    </row>
    <row r="395" spans="34:35" x14ac:dyDescent="0.2">
      <c r="AH395" s="269">
        <v>4.3099999999999516</v>
      </c>
      <c r="AI395">
        <v>4</v>
      </c>
    </row>
    <row r="396" spans="34:35" x14ac:dyDescent="0.2">
      <c r="AH396" s="269">
        <v>4.3199999999999514</v>
      </c>
      <c r="AI396">
        <v>4</v>
      </c>
    </row>
    <row r="397" spans="34:35" x14ac:dyDescent="0.2">
      <c r="AH397" s="269">
        <v>4.3299999999999512</v>
      </c>
      <c r="AI397">
        <v>4</v>
      </c>
    </row>
    <row r="398" spans="34:35" x14ac:dyDescent="0.2">
      <c r="AH398" s="269">
        <v>4.339999999999951</v>
      </c>
      <c r="AI398">
        <v>4</v>
      </c>
    </row>
    <row r="399" spans="34:35" x14ac:dyDescent="0.2">
      <c r="AH399" s="269">
        <v>4.3499999999999508</v>
      </c>
      <c r="AI399">
        <v>4</v>
      </c>
    </row>
    <row r="400" spans="34:35" x14ac:dyDescent="0.2">
      <c r="AH400" s="269">
        <v>4.3599999999999506</v>
      </c>
      <c r="AI400">
        <v>4</v>
      </c>
    </row>
    <row r="401" spans="34:35" x14ac:dyDescent="0.2">
      <c r="AH401" s="269">
        <v>4.3699999999999504</v>
      </c>
      <c r="AI401">
        <v>4</v>
      </c>
    </row>
    <row r="402" spans="34:35" x14ac:dyDescent="0.2">
      <c r="AH402" s="269">
        <v>4.3799999999999502</v>
      </c>
      <c r="AI402">
        <v>4</v>
      </c>
    </row>
    <row r="403" spans="34:35" x14ac:dyDescent="0.2">
      <c r="AH403" s="269">
        <v>4.3899999999999499</v>
      </c>
      <c r="AI403">
        <v>4</v>
      </c>
    </row>
    <row r="404" spans="34:35" x14ac:dyDescent="0.2">
      <c r="AH404" s="269">
        <v>4.3999999999999497</v>
      </c>
      <c r="AI404">
        <v>4</v>
      </c>
    </row>
    <row r="405" spans="34:35" x14ac:dyDescent="0.2">
      <c r="AH405" s="269">
        <v>4.4099999999999495</v>
      </c>
      <c r="AI405">
        <v>5</v>
      </c>
    </row>
    <row r="406" spans="34:35" x14ac:dyDescent="0.2">
      <c r="AH406" s="269">
        <v>4.4199999999999493</v>
      </c>
      <c r="AI406">
        <v>5</v>
      </c>
    </row>
    <row r="407" spans="34:35" x14ac:dyDescent="0.2">
      <c r="AH407" s="269">
        <v>4.4299999999999491</v>
      </c>
      <c r="AI407">
        <v>5</v>
      </c>
    </row>
    <row r="408" spans="34:35" x14ac:dyDescent="0.2">
      <c r="AH408" s="269">
        <v>4.4399999999999489</v>
      </c>
      <c r="AI408">
        <v>5</v>
      </c>
    </row>
    <row r="409" spans="34:35" x14ac:dyDescent="0.2">
      <c r="AH409" s="269">
        <v>4.4499999999999487</v>
      </c>
      <c r="AI409">
        <v>5</v>
      </c>
    </row>
    <row r="410" spans="34:35" x14ac:dyDescent="0.2">
      <c r="AH410" s="269">
        <v>4.4599999999999485</v>
      </c>
      <c r="AI410">
        <v>5</v>
      </c>
    </row>
    <row r="411" spans="34:35" x14ac:dyDescent="0.2">
      <c r="AH411" s="269">
        <v>4.4699999999999482</v>
      </c>
      <c r="AI411">
        <v>5</v>
      </c>
    </row>
    <row r="412" spans="34:35" x14ac:dyDescent="0.2">
      <c r="AH412" s="269">
        <v>4.479999999999948</v>
      </c>
      <c r="AI412">
        <v>5</v>
      </c>
    </row>
    <row r="413" spans="34:35" x14ac:dyDescent="0.2">
      <c r="AH413" s="269">
        <v>4.4899999999999478</v>
      </c>
      <c r="AI413">
        <v>5</v>
      </c>
    </row>
    <row r="414" spans="34:35" x14ac:dyDescent="0.2">
      <c r="AH414" s="269">
        <v>4.4999999999999476</v>
      </c>
      <c r="AI414">
        <v>5</v>
      </c>
    </row>
    <row r="415" spans="34:35" x14ac:dyDescent="0.2">
      <c r="AH415" s="269">
        <v>4.5099999999999474</v>
      </c>
      <c r="AI415">
        <v>5</v>
      </c>
    </row>
    <row r="416" spans="34:35" x14ac:dyDescent="0.2">
      <c r="AH416" s="269">
        <v>4.5199999999999472</v>
      </c>
      <c r="AI416">
        <v>5</v>
      </c>
    </row>
    <row r="417" spans="34:35" x14ac:dyDescent="0.2">
      <c r="AH417" s="269">
        <v>4.529999999999947</v>
      </c>
      <c r="AI417">
        <v>5</v>
      </c>
    </row>
    <row r="418" spans="34:35" x14ac:dyDescent="0.2">
      <c r="AH418" s="269">
        <v>4.5399999999999467</v>
      </c>
      <c r="AI418">
        <v>5</v>
      </c>
    </row>
    <row r="419" spans="34:35" x14ac:dyDescent="0.2">
      <c r="AH419" s="269">
        <v>4.5499999999999465</v>
      </c>
      <c r="AI419">
        <v>5</v>
      </c>
    </row>
    <row r="420" spans="34:35" x14ac:dyDescent="0.2">
      <c r="AH420" s="269">
        <v>4.5599999999999463</v>
      </c>
      <c r="AI420">
        <v>5</v>
      </c>
    </row>
    <row r="421" spans="34:35" x14ac:dyDescent="0.2">
      <c r="AH421" s="269">
        <v>4.5699999999999461</v>
      </c>
      <c r="AI421">
        <v>5</v>
      </c>
    </row>
    <row r="422" spans="34:35" x14ac:dyDescent="0.2">
      <c r="AH422" s="269">
        <v>4.5799999999999459</v>
      </c>
      <c r="AI422">
        <v>5</v>
      </c>
    </row>
    <row r="423" spans="34:35" x14ac:dyDescent="0.2">
      <c r="AH423" s="269">
        <v>4.5899999999999457</v>
      </c>
      <c r="AI423">
        <v>5</v>
      </c>
    </row>
    <row r="424" spans="34:35" x14ac:dyDescent="0.2">
      <c r="AH424" s="269">
        <v>4.5999999999999455</v>
      </c>
      <c r="AI424">
        <v>5</v>
      </c>
    </row>
    <row r="425" spans="34:35" x14ac:dyDescent="0.2">
      <c r="AH425" s="269">
        <v>4.6099999999999453</v>
      </c>
      <c r="AI425">
        <v>5</v>
      </c>
    </row>
    <row r="426" spans="34:35" x14ac:dyDescent="0.2">
      <c r="AH426" s="269">
        <v>4.619999999999945</v>
      </c>
      <c r="AI426">
        <v>5</v>
      </c>
    </row>
    <row r="427" spans="34:35" x14ac:dyDescent="0.2">
      <c r="AH427" s="269">
        <v>4.6299999999999448</v>
      </c>
      <c r="AI427">
        <v>5</v>
      </c>
    </row>
    <row r="428" spans="34:35" x14ac:dyDescent="0.2">
      <c r="AH428" s="269">
        <v>4.6399999999999446</v>
      </c>
      <c r="AI428">
        <v>5</v>
      </c>
    </row>
    <row r="429" spans="34:35" x14ac:dyDescent="0.2">
      <c r="AH429" s="269">
        <v>4.6499999999999444</v>
      </c>
      <c r="AI429">
        <v>5</v>
      </c>
    </row>
    <row r="430" spans="34:35" x14ac:dyDescent="0.2">
      <c r="AH430" s="269">
        <v>4.6599999999999442</v>
      </c>
      <c r="AI430">
        <v>5</v>
      </c>
    </row>
    <row r="431" spans="34:35" x14ac:dyDescent="0.2">
      <c r="AH431" s="269">
        <v>4.669999999999944</v>
      </c>
      <c r="AI431">
        <v>5</v>
      </c>
    </row>
    <row r="432" spans="34:35" x14ac:dyDescent="0.2">
      <c r="AH432" s="269">
        <v>4.6799999999999438</v>
      </c>
      <c r="AI432">
        <v>5</v>
      </c>
    </row>
    <row r="433" spans="34:35" x14ac:dyDescent="0.2">
      <c r="AH433" s="269">
        <v>4.6899999999999435</v>
      </c>
      <c r="AI433">
        <v>5</v>
      </c>
    </row>
    <row r="434" spans="34:35" x14ac:dyDescent="0.2">
      <c r="AH434" s="269">
        <v>4.6999999999999433</v>
      </c>
      <c r="AI434">
        <v>5</v>
      </c>
    </row>
    <row r="435" spans="34:35" x14ac:dyDescent="0.2">
      <c r="AH435" s="269">
        <v>4.7099999999999431</v>
      </c>
      <c r="AI435">
        <v>5</v>
      </c>
    </row>
    <row r="436" spans="34:35" x14ac:dyDescent="0.2">
      <c r="AH436" s="269">
        <v>4.7199999999999429</v>
      </c>
      <c r="AI436">
        <v>5</v>
      </c>
    </row>
    <row r="437" spans="34:35" x14ac:dyDescent="0.2">
      <c r="AH437" s="269">
        <v>4.7299999999999427</v>
      </c>
      <c r="AI437">
        <v>5</v>
      </c>
    </row>
    <row r="438" spans="34:35" x14ac:dyDescent="0.2">
      <c r="AH438" s="269">
        <v>4.7399999999999425</v>
      </c>
      <c r="AI438">
        <v>5</v>
      </c>
    </row>
    <row r="439" spans="34:35" x14ac:dyDescent="0.2">
      <c r="AH439" s="269">
        <v>4.7499999999999423</v>
      </c>
      <c r="AI439">
        <v>5</v>
      </c>
    </row>
    <row r="440" spans="34:35" x14ac:dyDescent="0.2">
      <c r="AH440" s="269">
        <v>4.7599999999999421</v>
      </c>
      <c r="AI440">
        <v>5</v>
      </c>
    </row>
    <row r="441" spans="34:35" x14ac:dyDescent="0.2">
      <c r="AH441" s="269">
        <v>4.7699999999999418</v>
      </c>
      <c r="AI441">
        <v>5</v>
      </c>
    </row>
    <row r="442" spans="34:35" x14ac:dyDescent="0.2">
      <c r="AH442" s="269">
        <v>4.7799999999999416</v>
      </c>
      <c r="AI442">
        <v>5</v>
      </c>
    </row>
    <row r="443" spans="34:35" x14ac:dyDescent="0.2">
      <c r="AH443" s="269">
        <v>4.7899999999999414</v>
      </c>
      <c r="AI443">
        <v>5</v>
      </c>
    </row>
    <row r="444" spans="34:35" x14ac:dyDescent="0.2">
      <c r="AH444" s="269">
        <v>4.7999999999999412</v>
      </c>
      <c r="AI444">
        <v>5</v>
      </c>
    </row>
    <row r="445" spans="34:35" x14ac:dyDescent="0.2">
      <c r="AH445" s="269">
        <v>4.809999999999941</v>
      </c>
      <c r="AI445">
        <v>5</v>
      </c>
    </row>
    <row r="446" spans="34:35" x14ac:dyDescent="0.2">
      <c r="AH446" s="269">
        <v>4.8199999999999408</v>
      </c>
      <c r="AI446">
        <v>5</v>
      </c>
    </row>
    <row r="447" spans="34:35" x14ac:dyDescent="0.2">
      <c r="AH447" s="269">
        <v>4.8299999999999406</v>
      </c>
      <c r="AI447">
        <v>5</v>
      </c>
    </row>
    <row r="448" spans="34:35" x14ac:dyDescent="0.2">
      <c r="AH448" s="269">
        <v>4.8399999999999403</v>
      </c>
      <c r="AI448">
        <v>5</v>
      </c>
    </row>
    <row r="449" spans="34:35" x14ac:dyDescent="0.2">
      <c r="AH449" s="269">
        <v>4.8499999999999401</v>
      </c>
      <c r="AI449">
        <v>5</v>
      </c>
    </row>
    <row r="450" spans="34:35" x14ac:dyDescent="0.2">
      <c r="AH450" s="269">
        <v>4.8599999999999399</v>
      </c>
      <c r="AI450">
        <v>5</v>
      </c>
    </row>
    <row r="451" spans="34:35" x14ac:dyDescent="0.2">
      <c r="AH451" s="269">
        <v>4.8699999999999397</v>
      </c>
      <c r="AI451">
        <v>5</v>
      </c>
    </row>
    <row r="452" spans="34:35" x14ac:dyDescent="0.2">
      <c r="AH452" s="269">
        <v>4.8799999999999395</v>
      </c>
      <c r="AI452">
        <v>5</v>
      </c>
    </row>
    <row r="453" spans="34:35" x14ac:dyDescent="0.2">
      <c r="AH453" s="269">
        <v>4.8899999999999393</v>
      </c>
      <c r="AI453">
        <v>5</v>
      </c>
    </row>
    <row r="454" spans="34:35" x14ac:dyDescent="0.2">
      <c r="AH454" s="269">
        <v>4.8999999999999391</v>
      </c>
      <c r="AI454">
        <v>5</v>
      </c>
    </row>
    <row r="455" spans="34:35" x14ac:dyDescent="0.2">
      <c r="AH455" s="269">
        <v>4.9099999999999389</v>
      </c>
      <c r="AI455">
        <v>6</v>
      </c>
    </row>
    <row r="456" spans="34:35" x14ac:dyDescent="0.2">
      <c r="AH456" s="269">
        <v>4.9199999999999386</v>
      </c>
      <c r="AI456">
        <v>6</v>
      </c>
    </row>
    <row r="457" spans="34:35" x14ac:dyDescent="0.2">
      <c r="AH457" s="269">
        <v>4.9299999999999384</v>
      </c>
      <c r="AI457">
        <v>6</v>
      </c>
    </row>
    <row r="458" spans="34:35" x14ac:dyDescent="0.2">
      <c r="AH458" s="269">
        <v>4.9399999999999382</v>
      </c>
      <c r="AI458">
        <v>6</v>
      </c>
    </row>
    <row r="459" spans="34:35" x14ac:dyDescent="0.2">
      <c r="AH459" s="269">
        <v>4.949999999999938</v>
      </c>
      <c r="AI459">
        <v>6</v>
      </c>
    </row>
    <row r="460" spans="34:35" x14ac:dyDescent="0.2">
      <c r="AH460" s="269">
        <v>4.9599999999999378</v>
      </c>
      <c r="AI460">
        <v>6</v>
      </c>
    </row>
    <row r="461" spans="34:35" x14ac:dyDescent="0.2">
      <c r="AH461" s="269">
        <v>4.9699999999999376</v>
      </c>
      <c r="AI461">
        <v>6</v>
      </c>
    </row>
    <row r="462" spans="34:35" x14ac:dyDescent="0.2">
      <c r="AH462" s="269">
        <v>4.9799999999999374</v>
      </c>
      <c r="AI462">
        <v>6</v>
      </c>
    </row>
    <row r="463" spans="34:35" x14ac:dyDescent="0.2">
      <c r="AH463" s="269">
        <v>4.9899999999999372</v>
      </c>
      <c r="AI463">
        <v>6</v>
      </c>
    </row>
    <row r="464" spans="34:35" x14ac:dyDescent="0.2">
      <c r="AH464" s="269">
        <v>4.9999999999999369</v>
      </c>
      <c r="AI464">
        <v>6</v>
      </c>
    </row>
    <row r="465" spans="34:35" x14ac:dyDescent="0.2">
      <c r="AH465" s="269">
        <v>5.0099999999999367</v>
      </c>
      <c r="AI465">
        <v>6</v>
      </c>
    </row>
    <row r="466" spans="34:35" x14ac:dyDescent="0.2">
      <c r="AH466" s="269">
        <v>5.0199999999999365</v>
      </c>
      <c r="AI466">
        <v>6</v>
      </c>
    </row>
    <row r="467" spans="34:35" x14ac:dyDescent="0.2">
      <c r="AH467" s="269">
        <v>5.0299999999999363</v>
      </c>
      <c r="AI467">
        <v>6</v>
      </c>
    </row>
    <row r="468" spans="34:35" x14ac:dyDescent="0.2">
      <c r="AH468" s="269">
        <v>5.0399999999999361</v>
      </c>
      <c r="AI468">
        <v>6</v>
      </c>
    </row>
    <row r="469" spans="34:35" x14ac:dyDescent="0.2">
      <c r="AH469" s="269">
        <v>5.0499999999999359</v>
      </c>
      <c r="AI469">
        <v>6</v>
      </c>
    </row>
    <row r="470" spans="34:35" x14ac:dyDescent="0.2">
      <c r="AH470" s="269">
        <v>5.0599999999999357</v>
      </c>
      <c r="AI470">
        <v>6</v>
      </c>
    </row>
    <row r="471" spans="34:35" x14ac:dyDescent="0.2">
      <c r="AH471" s="269">
        <v>5.0699999999999354</v>
      </c>
      <c r="AI471">
        <v>6</v>
      </c>
    </row>
    <row r="472" spans="34:35" x14ac:dyDescent="0.2">
      <c r="AH472" s="269">
        <v>5.0799999999999352</v>
      </c>
      <c r="AI472">
        <v>6</v>
      </c>
    </row>
    <row r="473" spans="34:35" x14ac:dyDescent="0.2">
      <c r="AH473" s="269">
        <v>5.089999999999935</v>
      </c>
      <c r="AI473">
        <v>6</v>
      </c>
    </row>
    <row r="474" spans="34:35" x14ac:dyDescent="0.2">
      <c r="AH474" s="269">
        <v>5.0999999999999348</v>
      </c>
      <c r="AI474">
        <v>6</v>
      </c>
    </row>
    <row r="475" spans="34:35" x14ac:dyDescent="0.2">
      <c r="AH475" s="269">
        <v>5.1099999999999346</v>
      </c>
      <c r="AI475">
        <v>6</v>
      </c>
    </row>
    <row r="476" spans="34:35" x14ac:dyDescent="0.2">
      <c r="AH476" s="269">
        <v>5.1199999999999344</v>
      </c>
      <c r="AI476">
        <v>6</v>
      </c>
    </row>
    <row r="477" spans="34:35" x14ac:dyDescent="0.2">
      <c r="AH477" s="269">
        <v>5.1299999999999342</v>
      </c>
      <c r="AI477">
        <v>6</v>
      </c>
    </row>
    <row r="478" spans="34:35" x14ac:dyDescent="0.2">
      <c r="AH478" s="269">
        <v>5.139999999999934</v>
      </c>
      <c r="AI478">
        <v>6</v>
      </c>
    </row>
    <row r="479" spans="34:35" x14ac:dyDescent="0.2">
      <c r="AH479" s="269">
        <v>5.1499999999999337</v>
      </c>
      <c r="AI479">
        <v>6</v>
      </c>
    </row>
    <row r="480" spans="34:35" x14ac:dyDescent="0.2">
      <c r="AH480" s="269">
        <v>5.1599999999999335</v>
      </c>
      <c r="AI480">
        <v>6</v>
      </c>
    </row>
    <row r="481" spans="34:35" x14ac:dyDescent="0.2">
      <c r="AH481" s="269">
        <v>5.1699999999999333</v>
      </c>
      <c r="AI481">
        <v>6</v>
      </c>
    </row>
    <row r="482" spans="34:35" x14ac:dyDescent="0.2">
      <c r="AH482" s="269">
        <v>5.1799999999999331</v>
      </c>
      <c r="AI482">
        <v>6</v>
      </c>
    </row>
    <row r="483" spans="34:35" x14ac:dyDescent="0.2">
      <c r="AH483" s="269">
        <v>5.1899999999999329</v>
      </c>
      <c r="AI483">
        <v>6</v>
      </c>
    </row>
    <row r="484" spans="34:35" x14ac:dyDescent="0.2">
      <c r="AH484" s="269">
        <v>5.1999999999999327</v>
      </c>
      <c r="AI484">
        <v>6</v>
      </c>
    </row>
    <row r="485" spans="34:35" x14ac:dyDescent="0.2">
      <c r="AH485" s="269">
        <v>5.2099999999999325</v>
      </c>
      <c r="AI485">
        <v>6</v>
      </c>
    </row>
    <row r="486" spans="34:35" x14ac:dyDescent="0.2">
      <c r="AH486" s="269">
        <v>5.2199999999999322</v>
      </c>
      <c r="AI486">
        <v>6</v>
      </c>
    </row>
    <row r="487" spans="34:35" x14ac:dyDescent="0.2">
      <c r="AH487" s="269">
        <v>5.229999999999932</v>
      </c>
      <c r="AI487">
        <v>6</v>
      </c>
    </row>
    <row r="488" spans="34:35" x14ac:dyDescent="0.2">
      <c r="AH488" s="269">
        <v>5.2399999999999318</v>
      </c>
      <c r="AI488">
        <v>6</v>
      </c>
    </row>
    <row r="489" spans="34:35" x14ac:dyDescent="0.2">
      <c r="AH489" s="269">
        <v>5.2499999999999316</v>
      </c>
      <c r="AI489">
        <v>6</v>
      </c>
    </row>
    <row r="490" spans="34:35" x14ac:dyDescent="0.2">
      <c r="AH490" s="269">
        <v>5.2599999999999314</v>
      </c>
      <c r="AI490">
        <v>6</v>
      </c>
    </row>
    <row r="491" spans="34:35" x14ac:dyDescent="0.2">
      <c r="AH491" s="269">
        <v>5.2699999999999312</v>
      </c>
      <c r="AI491">
        <v>6</v>
      </c>
    </row>
    <row r="492" spans="34:35" x14ac:dyDescent="0.2">
      <c r="AH492" s="269">
        <v>5.279999999999931</v>
      </c>
      <c r="AI492">
        <v>6</v>
      </c>
    </row>
    <row r="493" spans="34:35" x14ac:dyDescent="0.2">
      <c r="AH493" s="269">
        <v>5.2899999999999308</v>
      </c>
      <c r="AI493">
        <v>6</v>
      </c>
    </row>
    <row r="494" spans="34:35" x14ac:dyDescent="0.2">
      <c r="AH494" s="269">
        <v>5.2999999999999305</v>
      </c>
      <c r="AI494">
        <v>6</v>
      </c>
    </row>
    <row r="495" spans="34:35" x14ac:dyDescent="0.2">
      <c r="AH495" s="269">
        <v>5.3099999999999303</v>
      </c>
      <c r="AI495">
        <v>6</v>
      </c>
    </row>
    <row r="496" spans="34:35" x14ac:dyDescent="0.2">
      <c r="AH496" s="269">
        <v>5.3199999999999301</v>
      </c>
      <c r="AI496">
        <v>6</v>
      </c>
    </row>
    <row r="497" spans="34:162" x14ac:dyDescent="0.2">
      <c r="AH497" s="269">
        <v>5.3299999999999299</v>
      </c>
      <c r="AI497">
        <v>6</v>
      </c>
    </row>
    <row r="498" spans="34:162" x14ac:dyDescent="0.2">
      <c r="AH498" s="269">
        <v>5.3399999999999297</v>
      </c>
      <c r="AI498">
        <v>6</v>
      </c>
    </row>
    <row r="499" spans="34:162" x14ac:dyDescent="0.2">
      <c r="AH499" s="269">
        <v>5.3499999999999295</v>
      </c>
      <c r="AI499">
        <v>6</v>
      </c>
    </row>
    <row r="500" spans="34:162" x14ac:dyDescent="0.2">
      <c r="AH500" s="269">
        <v>5.3599999999999293</v>
      </c>
      <c r="AI500">
        <v>6</v>
      </c>
    </row>
    <row r="501" spans="34:162" x14ac:dyDescent="0.2">
      <c r="AH501" s="269">
        <v>5.3699999999999291</v>
      </c>
      <c r="AI501">
        <v>6</v>
      </c>
    </row>
    <row r="502" spans="34:162" x14ac:dyDescent="0.2">
      <c r="AH502" s="269">
        <v>5.3799999999999288</v>
      </c>
      <c r="AI502">
        <v>6</v>
      </c>
      <c r="FE502" s="34"/>
      <c r="FF502" s="270"/>
    </row>
    <row r="503" spans="34:162" x14ac:dyDescent="0.2">
      <c r="AH503" s="269">
        <v>5.3899999999999286</v>
      </c>
      <c r="AI503">
        <v>6</v>
      </c>
    </row>
    <row r="504" spans="34:162" x14ac:dyDescent="0.2">
      <c r="AH504" s="269">
        <v>5.3999999999999284</v>
      </c>
      <c r="AI504">
        <v>6</v>
      </c>
    </row>
    <row r="505" spans="34:162" x14ac:dyDescent="0.2">
      <c r="AH505" s="269">
        <v>5.4099999999999282</v>
      </c>
      <c r="AI505">
        <v>6</v>
      </c>
    </row>
    <row r="506" spans="34:162" x14ac:dyDescent="0.2">
      <c r="AH506" s="269">
        <v>5.419999999999928</v>
      </c>
      <c r="AI506">
        <v>6</v>
      </c>
    </row>
    <row r="507" spans="34:162" x14ac:dyDescent="0.2">
      <c r="AH507" s="269">
        <v>5.4299999999999278</v>
      </c>
      <c r="AI507">
        <v>6</v>
      </c>
    </row>
    <row r="508" spans="34:162" x14ac:dyDescent="0.2">
      <c r="AH508" s="269">
        <v>5.4399999999999276</v>
      </c>
      <c r="AI508">
        <v>6</v>
      </c>
    </row>
    <row r="509" spans="34:162" x14ac:dyDescent="0.2">
      <c r="AH509" s="269">
        <v>5.4499999999999273</v>
      </c>
      <c r="AI509">
        <v>6</v>
      </c>
    </row>
    <row r="510" spans="34:162" x14ac:dyDescent="0.2">
      <c r="AH510" s="269">
        <v>5.4599999999999271</v>
      </c>
      <c r="AI510">
        <v>6</v>
      </c>
    </row>
    <row r="511" spans="34:162" x14ac:dyDescent="0.2">
      <c r="AH511" s="269">
        <v>5.4699999999999269</v>
      </c>
      <c r="AI511">
        <v>6</v>
      </c>
    </row>
    <row r="512" spans="34:162" x14ac:dyDescent="0.2">
      <c r="AH512" s="269">
        <v>5.4799999999999267</v>
      </c>
      <c r="AI512">
        <v>6</v>
      </c>
    </row>
    <row r="513" spans="34:35" x14ac:dyDescent="0.2">
      <c r="AH513" s="269">
        <v>5.4899999999999265</v>
      </c>
      <c r="AI513">
        <v>6</v>
      </c>
    </row>
    <row r="514" spans="34:35" x14ac:dyDescent="0.2">
      <c r="AH514" s="269">
        <v>5.4999999999999263</v>
      </c>
      <c r="AI514">
        <v>6</v>
      </c>
    </row>
    <row r="515" spans="34:35" x14ac:dyDescent="0.2">
      <c r="AH515" s="269">
        <v>5.5099999999999261</v>
      </c>
      <c r="AI515">
        <v>6</v>
      </c>
    </row>
    <row r="516" spans="34:35" x14ac:dyDescent="0.2">
      <c r="AH516" s="269">
        <v>5.5199999999999259</v>
      </c>
      <c r="AI516">
        <v>6</v>
      </c>
    </row>
    <row r="517" spans="34:35" x14ac:dyDescent="0.2">
      <c r="AH517" s="269">
        <v>5.5299999999999256</v>
      </c>
      <c r="AI517">
        <v>6</v>
      </c>
    </row>
    <row r="518" spans="34:35" x14ac:dyDescent="0.2">
      <c r="AH518" s="269">
        <v>5.5399999999999254</v>
      </c>
      <c r="AI518">
        <v>6</v>
      </c>
    </row>
    <row r="519" spans="34:35" x14ac:dyDescent="0.2">
      <c r="AH519" s="269">
        <v>5.5499999999999252</v>
      </c>
      <c r="AI519">
        <v>6</v>
      </c>
    </row>
    <row r="520" spans="34:35" x14ac:dyDescent="0.2">
      <c r="AH520" s="269">
        <v>5.559999999999925</v>
      </c>
      <c r="AI520">
        <v>6</v>
      </c>
    </row>
    <row r="521" spans="34:35" x14ac:dyDescent="0.2">
      <c r="AH521" s="269">
        <v>5.5699999999999248</v>
      </c>
      <c r="AI521">
        <v>6</v>
      </c>
    </row>
    <row r="522" spans="34:35" x14ac:dyDescent="0.2">
      <c r="AH522" s="269">
        <v>5.5799999999999246</v>
      </c>
      <c r="AI522">
        <v>6</v>
      </c>
    </row>
    <row r="523" spans="34:35" x14ac:dyDescent="0.2">
      <c r="AH523" s="269">
        <v>5.5899999999999244</v>
      </c>
      <c r="AI523">
        <v>6</v>
      </c>
    </row>
    <row r="524" spans="34:35" x14ac:dyDescent="0.2">
      <c r="AH524" s="269">
        <v>5.5999999999999241</v>
      </c>
      <c r="AI524">
        <v>6</v>
      </c>
    </row>
    <row r="525" spans="34:35" x14ac:dyDescent="0.2">
      <c r="AH525" s="269">
        <v>5.6099999999999239</v>
      </c>
      <c r="AI525">
        <v>6</v>
      </c>
    </row>
    <row r="526" spans="34:35" x14ac:dyDescent="0.2">
      <c r="AH526" s="269">
        <v>5.6199999999999237</v>
      </c>
      <c r="AI526">
        <v>6</v>
      </c>
    </row>
    <row r="527" spans="34:35" x14ac:dyDescent="0.2">
      <c r="AH527" s="269">
        <v>5.6299999999999235</v>
      </c>
      <c r="AI527">
        <v>6</v>
      </c>
    </row>
    <row r="528" spans="34:35" x14ac:dyDescent="0.2">
      <c r="AH528" s="269">
        <v>5.6399999999999233</v>
      </c>
      <c r="AI528">
        <v>6</v>
      </c>
    </row>
    <row r="529" spans="34:35" x14ac:dyDescent="0.2">
      <c r="AH529" s="269">
        <v>5.6499999999999231</v>
      </c>
      <c r="AI529">
        <v>6</v>
      </c>
    </row>
    <row r="530" spans="34:35" x14ac:dyDescent="0.2">
      <c r="AH530" s="269">
        <v>5.6599999999999229</v>
      </c>
      <c r="AI530">
        <v>6</v>
      </c>
    </row>
    <row r="531" spans="34:35" x14ac:dyDescent="0.2">
      <c r="AH531" s="269">
        <v>5.6699999999999227</v>
      </c>
      <c r="AI531">
        <v>6</v>
      </c>
    </row>
    <row r="532" spans="34:35" x14ac:dyDescent="0.2">
      <c r="AH532" s="269">
        <v>5.6799999999999224</v>
      </c>
      <c r="AI532">
        <v>6</v>
      </c>
    </row>
    <row r="533" spans="34:35" x14ac:dyDescent="0.2">
      <c r="AH533" s="269">
        <v>5.6899999999999222</v>
      </c>
      <c r="AI533">
        <v>6</v>
      </c>
    </row>
    <row r="534" spans="34:35" x14ac:dyDescent="0.2">
      <c r="AH534" s="269">
        <v>5.699999999999922</v>
      </c>
      <c r="AI534">
        <v>6</v>
      </c>
    </row>
    <row r="535" spans="34:35" x14ac:dyDescent="0.2">
      <c r="AH535" s="269">
        <v>5.7099999999999218</v>
      </c>
      <c r="AI535">
        <v>6</v>
      </c>
    </row>
    <row r="536" spans="34:35" x14ac:dyDescent="0.2">
      <c r="AH536" s="269">
        <v>5.7199999999999216</v>
      </c>
      <c r="AI536">
        <v>6</v>
      </c>
    </row>
    <row r="537" spans="34:35" x14ac:dyDescent="0.2">
      <c r="AH537" s="269">
        <v>5.7299999999999214</v>
      </c>
      <c r="AI537">
        <v>6</v>
      </c>
    </row>
    <row r="538" spans="34:35" x14ac:dyDescent="0.2">
      <c r="AH538" s="269">
        <v>5.7399999999999212</v>
      </c>
      <c r="AI538">
        <v>6</v>
      </c>
    </row>
    <row r="539" spans="34:35" x14ac:dyDescent="0.2">
      <c r="AH539" s="269">
        <v>5.749999999999921</v>
      </c>
      <c r="AI539">
        <v>6</v>
      </c>
    </row>
    <row r="540" spans="34:35" x14ac:dyDescent="0.2">
      <c r="AH540" s="269">
        <v>5.7599999999999207</v>
      </c>
      <c r="AI540">
        <v>6</v>
      </c>
    </row>
    <row r="541" spans="34:35" x14ac:dyDescent="0.2">
      <c r="AH541" s="269">
        <v>5.7699999999999205</v>
      </c>
      <c r="AI541">
        <v>6</v>
      </c>
    </row>
    <row r="542" spans="34:35" x14ac:dyDescent="0.2">
      <c r="AH542" s="269">
        <v>5.7799999999999203</v>
      </c>
      <c r="AI542">
        <v>6</v>
      </c>
    </row>
    <row r="543" spans="34:35" x14ac:dyDescent="0.2">
      <c r="AH543" s="269">
        <v>5.7899999999999201</v>
      </c>
      <c r="AI543">
        <v>6</v>
      </c>
    </row>
    <row r="544" spans="34:35" x14ac:dyDescent="0.2">
      <c r="AH544" s="269">
        <v>5.7999999999999199</v>
      </c>
      <c r="AI544">
        <v>6</v>
      </c>
    </row>
    <row r="545" spans="34:35" x14ac:dyDescent="0.2">
      <c r="AH545" s="269">
        <v>5.8099999999999197</v>
      </c>
      <c r="AI545">
        <v>6</v>
      </c>
    </row>
    <row r="546" spans="34:35" x14ac:dyDescent="0.2">
      <c r="AH546" s="269">
        <v>5.8199999999999195</v>
      </c>
      <c r="AI546">
        <v>6</v>
      </c>
    </row>
    <row r="547" spans="34:35" x14ac:dyDescent="0.2">
      <c r="AH547" s="269">
        <v>5.8299999999999192</v>
      </c>
      <c r="AI547">
        <v>6</v>
      </c>
    </row>
    <row r="548" spans="34:35" x14ac:dyDescent="0.2">
      <c r="AH548" s="269">
        <v>5.839999999999919</v>
      </c>
      <c r="AI548">
        <v>6</v>
      </c>
    </row>
    <row r="549" spans="34:35" x14ac:dyDescent="0.2">
      <c r="AH549" s="269">
        <v>5.8499999999999188</v>
      </c>
      <c r="AI549">
        <v>6</v>
      </c>
    </row>
    <row r="550" spans="34:35" x14ac:dyDescent="0.2">
      <c r="AH550" s="269">
        <v>5.8599999999999186</v>
      </c>
      <c r="AI550">
        <v>6</v>
      </c>
    </row>
    <row r="551" spans="34:35" x14ac:dyDescent="0.2">
      <c r="AH551" s="269">
        <v>5.8699999999999184</v>
      </c>
      <c r="AI551">
        <v>6</v>
      </c>
    </row>
    <row r="552" spans="34:35" x14ac:dyDescent="0.2">
      <c r="AH552" s="269">
        <v>5.8799999999999182</v>
      </c>
      <c r="AI552">
        <v>6</v>
      </c>
    </row>
    <row r="553" spans="34:35" x14ac:dyDescent="0.2">
      <c r="AH553" s="269">
        <v>5.889999999999918</v>
      </c>
      <c r="AI553">
        <v>6</v>
      </c>
    </row>
    <row r="554" spans="34:35" x14ac:dyDescent="0.2">
      <c r="AH554" s="269">
        <v>5.8999999999999178</v>
      </c>
      <c r="AI554">
        <v>6</v>
      </c>
    </row>
    <row r="555" spans="34:35" x14ac:dyDescent="0.2">
      <c r="AH555" s="269">
        <v>5.9099999999999175</v>
      </c>
      <c r="AI555">
        <v>6</v>
      </c>
    </row>
    <row r="556" spans="34:35" x14ac:dyDescent="0.2">
      <c r="AH556" s="269">
        <v>5.9199999999999173</v>
      </c>
      <c r="AI556">
        <v>6</v>
      </c>
    </row>
    <row r="557" spans="34:35" x14ac:dyDescent="0.2">
      <c r="AH557" s="269">
        <v>5.9299999999999171</v>
      </c>
      <c r="AI557">
        <v>6</v>
      </c>
    </row>
    <row r="558" spans="34:35" x14ac:dyDescent="0.2">
      <c r="AH558" s="269">
        <v>5.9399999999999169</v>
      </c>
      <c r="AI558">
        <v>6</v>
      </c>
    </row>
    <row r="559" spans="34:35" x14ac:dyDescent="0.2">
      <c r="AH559" s="269">
        <v>5.9499999999999167</v>
      </c>
      <c r="AI559">
        <v>6</v>
      </c>
    </row>
    <row r="560" spans="34:35" x14ac:dyDescent="0.2">
      <c r="AH560" s="269">
        <v>5.9599999999999165</v>
      </c>
      <c r="AI560">
        <v>6</v>
      </c>
    </row>
    <row r="561" spans="34:35" x14ac:dyDescent="0.2">
      <c r="AH561" s="269">
        <v>5.9699999999999163</v>
      </c>
      <c r="AI561">
        <v>6</v>
      </c>
    </row>
    <row r="562" spans="34:35" x14ac:dyDescent="0.2">
      <c r="AH562" s="269">
        <v>5.979999999999916</v>
      </c>
      <c r="AI562">
        <v>6</v>
      </c>
    </row>
    <row r="563" spans="34:35" x14ac:dyDescent="0.2">
      <c r="AH563" s="269">
        <v>5.9899999999999158</v>
      </c>
      <c r="AI563">
        <v>6</v>
      </c>
    </row>
    <row r="564" spans="34:35" x14ac:dyDescent="0.2">
      <c r="AH564" s="269">
        <v>5.9999999999999156</v>
      </c>
      <c r="AI564">
        <v>6</v>
      </c>
    </row>
  </sheetData>
  <sheetProtection algorithmName="SHA-512" hashValue="HUFWaaEcH6KcpcJG5P7ScsIXM4V1ZJfNBvpp5j6Y0riGAZ2WW9HDpe+MpN7AG4/Uo7nD08T4tA3/xSuyYqHYXQ==" saltValue="58rVCFO2tf+s+u10b5Dl/A==" spinCount="100000" sheet="1" objects="1" scenarios="1"/>
  <mergeCells count="122">
    <mergeCell ref="AJ3:AK3"/>
    <mergeCell ref="I4:J4"/>
    <mergeCell ref="M4:N4"/>
    <mergeCell ref="AJ4:AK4"/>
    <mergeCell ref="O5:R6"/>
    <mergeCell ref="C6:K6"/>
    <mergeCell ref="AD12:AF12"/>
    <mergeCell ref="AU14:AV14"/>
    <mergeCell ref="I15:L15"/>
    <mergeCell ref="BC6:BL6"/>
    <mergeCell ref="B8:I8"/>
    <mergeCell ref="J8:R8"/>
    <mergeCell ref="B10:D10"/>
    <mergeCell ref="E10:J10"/>
    <mergeCell ref="K10:R10"/>
    <mergeCell ref="D16:E16"/>
    <mergeCell ref="H16:I16"/>
    <mergeCell ref="L16:M16"/>
    <mergeCell ref="P16:R16"/>
    <mergeCell ref="D17:E17"/>
    <mergeCell ref="H17:I17"/>
    <mergeCell ref="L17:M17"/>
    <mergeCell ref="P17:R17"/>
    <mergeCell ref="O11:R12"/>
    <mergeCell ref="B12:E12"/>
    <mergeCell ref="F12:M12"/>
    <mergeCell ref="D20:E20"/>
    <mergeCell ref="H20:I20"/>
    <mergeCell ref="L20:M20"/>
    <mergeCell ref="P20:R20"/>
    <mergeCell ref="D21:E21"/>
    <mergeCell ref="H21:I21"/>
    <mergeCell ref="L21:M21"/>
    <mergeCell ref="P21:R21"/>
    <mergeCell ref="D18:E18"/>
    <mergeCell ref="H18:I18"/>
    <mergeCell ref="L18:M18"/>
    <mergeCell ref="P18:R18"/>
    <mergeCell ref="D19:E19"/>
    <mergeCell ref="H19:I19"/>
    <mergeCell ref="L19:M19"/>
    <mergeCell ref="P19:R19"/>
    <mergeCell ref="AI35:AK35"/>
    <mergeCell ref="K46:N46"/>
    <mergeCell ref="Q25:R25"/>
    <mergeCell ref="Q26:R26"/>
    <mergeCell ref="Q27:R27"/>
    <mergeCell ref="Q28:R28"/>
    <mergeCell ref="Q29:R29"/>
    <mergeCell ref="BG29:BH29"/>
    <mergeCell ref="D22:E22"/>
    <mergeCell ref="H22:I22"/>
    <mergeCell ref="L22:M22"/>
    <mergeCell ref="P22:R22"/>
    <mergeCell ref="Q23:R23"/>
    <mergeCell ref="Q24:R24"/>
    <mergeCell ref="T47:T48"/>
    <mergeCell ref="E48:F48"/>
    <mergeCell ref="Q48:R48"/>
    <mergeCell ref="Q49:R49"/>
    <mergeCell ref="C50:J51"/>
    <mergeCell ref="Q50:R50"/>
    <mergeCell ref="Q51:R51"/>
    <mergeCell ref="Q30:R30"/>
    <mergeCell ref="Q31:R31"/>
    <mergeCell ref="Q32:R32"/>
    <mergeCell ref="T34:AC34"/>
    <mergeCell ref="E52:J52"/>
    <mergeCell ref="D53:J54"/>
    <mergeCell ref="K54:L54"/>
    <mergeCell ref="M54:R54"/>
    <mergeCell ref="B60:C60"/>
    <mergeCell ref="B61:C61"/>
    <mergeCell ref="H61:J61"/>
    <mergeCell ref="K61:M61"/>
    <mergeCell ref="N61:P61"/>
    <mergeCell ref="Q61:T61"/>
    <mergeCell ref="B62:C62"/>
    <mergeCell ref="H62:J62"/>
    <mergeCell ref="K62:M62"/>
    <mergeCell ref="N62:P62"/>
    <mergeCell ref="Q62:T62"/>
    <mergeCell ref="B63:C63"/>
    <mergeCell ref="H63:J63"/>
    <mergeCell ref="K63:M63"/>
    <mergeCell ref="N63:P63"/>
    <mergeCell ref="Q63:T63"/>
    <mergeCell ref="B64:C64"/>
    <mergeCell ref="H64:J64"/>
    <mergeCell ref="K64:M64"/>
    <mergeCell ref="N64:P64"/>
    <mergeCell ref="Q64:T64"/>
    <mergeCell ref="B65:C65"/>
    <mergeCell ref="H65:J65"/>
    <mergeCell ref="K65:M65"/>
    <mergeCell ref="N65:P65"/>
    <mergeCell ref="Q65:T65"/>
    <mergeCell ref="B66:C66"/>
    <mergeCell ref="H66:J66"/>
    <mergeCell ref="K66:M66"/>
    <mergeCell ref="N66:P66"/>
    <mergeCell ref="Q66:T66"/>
    <mergeCell ref="B67:C67"/>
    <mergeCell ref="H67:J67"/>
    <mergeCell ref="K67:M67"/>
    <mergeCell ref="N67:P67"/>
    <mergeCell ref="Q67:T67"/>
    <mergeCell ref="B70:C70"/>
    <mergeCell ref="H70:J70"/>
    <mergeCell ref="K70:M70"/>
    <mergeCell ref="N70:P70"/>
    <mergeCell ref="Q70:T70"/>
    <mergeCell ref="B68:C68"/>
    <mergeCell ref="H68:J68"/>
    <mergeCell ref="K68:M68"/>
    <mergeCell ref="N68:P68"/>
    <mergeCell ref="Q68:T68"/>
    <mergeCell ref="B69:C69"/>
    <mergeCell ref="H69:J69"/>
    <mergeCell ref="K69:M69"/>
    <mergeCell ref="N69:P69"/>
    <mergeCell ref="Q69:T69"/>
  </mergeCells>
  <pageMargins left="0.70866141732283472" right="0.51181102362204722" top="0.74803149606299213" bottom="0.74803149606299213" header="0.31496062992125984" footer="0.31496062992125984"/>
  <pageSetup paperSize="9" scale="75" orientation="portrait" horizontalDpi="360" verticalDpi="360" r:id="rId1"/>
  <rowBreaks count="1" manualBreakCount="1">
    <brk id="54" max="16383" man="1"/>
  </rowBreaks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215900</xdr:colOff>
                    <xdr:row>3</xdr:row>
                    <xdr:rowOff>241300</xdr:rowOff>
                  </from>
                  <to>
                    <xdr:col>14</xdr:col>
                    <xdr:colOff>114300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215900</xdr:colOff>
                    <xdr:row>5</xdr:row>
                    <xdr:rowOff>25400</xdr:rowOff>
                  </from>
                  <to>
                    <xdr:col>13</xdr:col>
                    <xdr:colOff>330200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177800</xdr:rowOff>
                  </from>
                  <to>
                    <xdr:col>1</xdr:col>
                    <xdr:colOff>292100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368300</xdr:colOff>
                    <xdr:row>12</xdr:row>
                    <xdr:rowOff>0</xdr:rowOff>
                  </from>
                  <to>
                    <xdr:col>6</xdr:col>
                    <xdr:colOff>266700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12700</xdr:colOff>
                    <xdr:row>11</xdr:row>
                    <xdr:rowOff>177800</xdr:rowOff>
                  </from>
                  <to>
                    <xdr:col>8</xdr:col>
                    <xdr:colOff>406400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152400</xdr:colOff>
                    <xdr:row>12</xdr:row>
                    <xdr:rowOff>0</xdr:rowOff>
                  </from>
                  <to>
                    <xdr:col>10</xdr:col>
                    <xdr:colOff>419100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25400</xdr:colOff>
                    <xdr:row>12</xdr:row>
                    <xdr:rowOff>0</xdr:rowOff>
                  </from>
                  <to>
                    <xdr:col>11</xdr:col>
                    <xdr:colOff>266700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12700</xdr:colOff>
                    <xdr:row>11</xdr:row>
                    <xdr:rowOff>177800</xdr:rowOff>
                  </from>
                  <to>
                    <xdr:col>15</xdr:col>
                    <xdr:colOff>406400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177800</xdr:rowOff>
                  </from>
                  <to>
                    <xdr:col>18</xdr:col>
                    <xdr:colOff>101600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25400</xdr:rowOff>
                  </from>
                  <to>
                    <xdr:col>1</xdr:col>
                    <xdr:colOff>406400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355600</xdr:colOff>
                    <xdr:row>12</xdr:row>
                    <xdr:rowOff>152400</xdr:rowOff>
                  </from>
                  <to>
                    <xdr:col>6</xdr:col>
                    <xdr:colOff>139700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355600</xdr:colOff>
                    <xdr:row>13</xdr:row>
                    <xdr:rowOff>152400</xdr:rowOff>
                  </from>
                  <to>
                    <xdr:col>7</xdr:col>
                    <xdr:colOff>203200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139700</xdr:colOff>
                    <xdr:row>12</xdr:row>
                    <xdr:rowOff>152400</xdr:rowOff>
                  </from>
                  <to>
                    <xdr:col>7</xdr:col>
                    <xdr:colOff>482600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254000</xdr:colOff>
                    <xdr:row>13</xdr:row>
                    <xdr:rowOff>139700</xdr:rowOff>
                  </from>
                  <to>
                    <xdr:col>8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152400</xdr:rowOff>
                  </from>
                  <to>
                    <xdr:col>18</xdr:col>
                    <xdr:colOff>101600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12700</xdr:colOff>
                    <xdr:row>12</xdr:row>
                    <xdr:rowOff>152400</xdr:rowOff>
                  </from>
                  <to>
                    <xdr:col>15</xdr:col>
                    <xdr:colOff>406400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12700</xdr:colOff>
                    <xdr:row>13</xdr:row>
                    <xdr:rowOff>152400</xdr:rowOff>
                  </from>
                  <to>
                    <xdr:col>15</xdr:col>
                    <xdr:colOff>368300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152400</xdr:rowOff>
                  </from>
                  <to>
                    <xdr:col>104</xdr:col>
                    <xdr:colOff>25400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127000</xdr:colOff>
                    <xdr:row>48</xdr:row>
                    <xdr:rowOff>0</xdr:rowOff>
                  </from>
                  <to>
                    <xdr:col>3</xdr:col>
                    <xdr:colOff>419100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177800</xdr:colOff>
                    <xdr:row>48</xdr:row>
                    <xdr:rowOff>12700</xdr:rowOff>
                  </from>
                  <to>
                    <xdr:col>4</xdr:col>
                    <xdr:colOff>495300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215900</xdr:colOff>
                    <xdr:row>48</xdr:row>
                    <xdr:rowOff>12700</xdr:rowOff>
                  </from>
                  <to>
                    <xdr:col>7</xdr:col>
                    <xdr:colOff>177800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342900</xdr:colOff>
                    <xdr:row>50</xdr:row>
                    <xdr:rowOff>0</xdr:rowOff>
                  </from>
                  <to>
                    <xdr:col>12</xdr:col>
                    <xdr:colOff>38100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317500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12</xdr:col>
                    <xdr:colOff>139700</xdr:colOff>
                    <xdr:row>50</xdr:row>
                    <xdr:rowOff>0</xdr:rowOff>
                  </from>
                  <to>
                    <xdr:col>13</xdr:col>
                    <xdr:colOff>317500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10</xdr:col>
                    <xdr:colOff>406400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342900</xdr:colOff>
                    <xdr:row>51</xdr:row>
                    <xdr:rowOff>0</xdr:rowOff>
                  </from>
                  <to>
                    <xdr:col>12</xdr:col>
                    <xdr:colOff>292100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139700</xdr:colOff>
                    <xdr:row>51</xdr:row>
                    <xdr:rowOff>0</xdr:rowOff>
                  </from>
                  <to>
                    <xdr:col>13</xdr:col>
                    <xdr:colOff>482600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88900</xdr:colOff>
                    <xdr:row>51</xdr:row>
                    <xdr:rowOff>0</xdr:rowOff>
                  </from>
                  <to>
                    <xdr:col>16</xdr:col>
                    <xdr:colOff>254000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15</xdr:col>
                    <xdr:colOff>177800</xdr:colOff>
                    <xdr:row>51</xdr:row>
                    <xdr:rowOff>0</xdr:rowOff>
                  </from>
                  <to>
                    <xdr:col>18</xdr:col>
                    <xdr:colOff>50800</xdr:colOff>
                    <xdr:row>52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Jacobsen</dc:creator>
  <cp:lastModifiedBy>Microsoft Office User</cp:lastModifiedBy>
  <cp:lastPrinted>2021-03-12T17:02:50Z</cp:lastPrinted>
  <dcterms:created xsi:type="dcterms:W3CDTF">2021-03-12T14:46:34Z</dcterms:created>
  <dcterms:modified xsi:type="dcterms:W3CDTF">2021-11-11T16:36:25Z</dcterms:modified>
</cp:coreProperties>
</file>